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hreadedComments/threadedComment2.xml" ContentType="application/vnd.ms-excel.threadedcomments+xml"/>
  <Override PartName="/xl/comments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8"/>
  <workbookPr codeName="ThisWorkbook" defaultThemeVersion="124226"/>
  <mc:AlternateContent xmlns:mc="http://schemas.openxmlformats.org/markup-compatibility/2006">
    <mc:Choice Requires="x15">
      <x15ac:absPath xmlns:x15ac="http://schemas.microsoft.com/office/spreadsheetml/2010/11/ac" url="/Users/jeffvincent/Library/CloudStorage/GoogleDrive-jvincent@berkeley.edu/.shortcut-targets-by-id/1Mw4Bkwgg4pzRTF9zs6r8YPIlMEQATNuU/NCSI - UCB Working Documents/FCA Manual &amp; Workbook (Sturtz)/FCA Workbook V1.0/"/>
    </mc:Choice>
  </mc:AlternateContent>
  <xr:revisionPtr revIDLastSave="0" documentId="13_ncr:1_{90AB1BC4-3B4D-EF4B-B09F-6D5437293DB4}" xr6:coauthVersionLast="47" xr6:coauthVersionMax="47" xr10:uidLastSave="{00000000-0000-0000-0000-000000000000}"/>
  <bookViews>
    <workbookView xWindow="-38400" yWindow="600" windowWidth="37480" windowHeight="20640" tabRatio="940" xr2:uid="{00000000-000D-0000-FFFF-FFFF00000000}"/>
  </bookViews>
  <sheets>
    <sheet name="ABOUT" sheetId="32" r:id="rId1"/>
    <sheet name="Helpful Information" sheetId="17" r:id="rId2"/>
    <sheet name="Base Information Sheet" sheetId="4" r:id="rId3"/>
    <sheet name="Physical Condition Assessment" sheetId="1" r:id="rId4"/>
    <sheet name="Rollup_PCA_notes" sheetId="29" state="hidden" r:id="rId5"/>
    <sheet name="SYST_LC" sheetId="30" r:id="rId6"/>
    <sheet name="AUTO_NOTES" sheetId="31" r:id="rId7"/>
    <sheet name="PCA Cost Tables - READ ONLY" sheetId="6" r:id="rId8"/>
    <sheet name="Building Type Budget-READ ONLY" sheetId="5" r:id="rId9"/>
    <sheet name="Dashboard Integration Page" sheetId="24" state="hidden" r:id="rId10"/>
    <sheet name="Edu Capacity Calculation" sheetId="25" state="hidden" r:id="rId11"/>
    <sheet name="HVAC" sheetId="26" r:id="rId12"/>
    <sheet name="ROOF" sheetId="27" r:id="rId13"/>
    <sheet name="Renovations, Additions &amp; Prtbls" sheetId="15" r:id="rId14"/>
    <sheet name="Security" sheetId="10" r:id="rId15"/>
    <sheet name="ADA" sheetId="11" r:id="rId16"/>
    <sheet name="IT" sheetId="12" r:id="rId17"/>
    <sheet name="Harmful Substances" sheetId="13" r:id="rId18"/>
    <sheet name="IAQ" sheetId="14" r:id="rId19"/>
    <sheet name="Physical Assessment Comments" sheetId="16" state="hidden" r:id="rId20"/>
  </sheets>
  <externalReferences>
    <externalReference r:id="rId21"/>
    <externalReference r:id="rId22"/>
    <externalReference r:id="rId23"/>
    <externalReference r:id="rId24"/>
    <externalReference r:id="rId25"/>
  </externalReferences>
  <definedNames>
    <definedName name="_xlnm._FilterDatabase" localSheetId="19" hidden="1">'Physical Assessment Comments'!$A$1:$A$255</definedName>
    <definedName name="Building" localSheetId="9">'[1]Building Type Budget-READ ONLY'!$A$6:$A$22</definedName>
    <definedName name="Building" localSheetId="10">'[2]Building Type Budget-READ ONLY'!$A$6:$A$22</definedName>
    <definedName name="Building" localSheetId="1">'[3]Building Type Budget-READ ONLY'!$A$6:$A$22</definedName>
    <definedName name="Building" localSheetId="11">'[4]Building Type Budget-READ ONLY'!$A$6:$A$22</definedName>
    <definedName name="Building">'Building Type Budget-READ ONLY'!$A$6:$A$22</definedName>
    <definedName name="condition_list">[5]lists!$F$5:$F$9</definedName>
    <definedName name="Counties" localSheetId="1">'[3]County Names'!$A$1:$A$36</definedName>
    <definedName name="Counties">#REF!</definedName>
    <definedName name="Districts" localSheetId="1">'[3]District Names'!$B$2:$B$198</definedName>
    <definedName name="Districts">#REF!</definedName>
    <definedName name="_xlnm.Print_Area" localSheetId="2">'Base Information Sheet'!$A$1:$D$35</definedName>
    <definedName name="_xlnm.Print_Area" localSheetId="8">'Building Type Budget-READ ONLY'!$A$1:$F$30</definedName>
    <definedName name="_xlnm.Print_Area" localSheetId="7">'PCA Cost Tables - READ ONLY'!$A$1:$O$172</definedName>
    <definedName name="_xlnm.Print_Area" localSheetId="3">'Physical Condition Assessment'!$A$1:$T$206</definedName>
    <definedName name="Roof_list">[5]lists!$B$5:$B$11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1" l="1"/>
  <c r="C2" i="1"/>
  <c r="C1" i="1"/>
  <c r="C7" i="5"/>
  <c r="D7" i="5" s="1"/>
  <c r="E7" i="5" s="1"/>
  <c r="C8" i="5"/>
  <c r="D8" i="5" s="1"/>
  <c r="E8" i="5" s="1"/>
  <c r="C9" i="5"/>
  <c r="D9" i="5" s="1"/>
  <c r="E9" i="5" s="1"/>
  <c r="C10" i="5"/>
  <c r="D10" i="5" s="1"/>
  <c r="E10" i="5" s="1"/>
  <c r="C11" i="5"/>
  <c r="D11" i="5" s="1"/>
  <c r="E11" i="5" s="1"/>
  <c r="C12" i="5"/>
  <c r="D12" i="5" s="1"/>
  <c r="E12" i="5" s="1"/>
  <c r="C13" i="5"/>
  <c r="D13" i="5" s="1"/>
  <c r="E13" i="5" s="1"/>
  <c r="C14" i="5"/>
  <c r="D14" i="5" s="1"/>
  <c r="E14" i="5" s="1"/>
  <c r="C15" i="5"/>
  <c r="D15" i="5" s="1"/>
  <c r="E15" i="5" s="1"/>
  <c r="C16" i="5"/>
  <c r="D16" i="5" s="1"/>
  <c r="E16" i="5" s="1"/>
  <c r="C17" i="5"/>
  <c r="D17" i="5" s="1"/>
  <c r="E17" i="5" s="1"/>
  <c r="C18" i="5"/>
  <c r="D18" i="5" s="1"/>
  <c r="E18" i="5" s="1"/>
  <c r="C19" i="5"/>
  <c r="D19" i="5" s="1"/>
  <c r="E19" i="5" s="1"/>
  <c r="C20" i="5"/>
  <c r="D20" i="5" s="1"/>
  <c r="E20" i="5" s="1"/>
  <c r="C21" i="5"/>
  <c r="D21" i="5" s="1"/>
  <c r="E21" i="5" s="1"/>
  <c r="C22" i="5"/>
  <c r="D22" i="5" s="1"/>
  <c r="E22" i="5" s="1"/>
  <c r="C6" i="5"/>
  <c r="D6" i="5" s="1"/>
  <c r="E6" i="5" s="1"/>
  <c r="D3" i="30"/>
  <c r="D4" i="30"/>
  <c r="D5" i="30"/>
  <c r="D6" i="30"/>
  <c r="D7" i="30"/>
  <c r="D8" i="30"/>
  <c r="D9" i="30"/>
  <c r="D10" i="30"/>
  <c r="D11" i="30"/>
  <c r="D12" i="30"/>
  <c r="D13" i="30"/>
  <c r="D14" i="30"/>
  <c r="D15" i="30"/>
  <c r="D16" i="30"/>
  <c r="D17" i="30"/>
  <c r="D18" i="30"/>
  <c r="D19" i="30"/>
  <c r="D20" i="30"/>
  <c r="D21" i="30"/>
  <c r="D22" i="30"/>
  <c r="D23" i="30"/>
  <c r="D24" i="30"/>
  <c r="D25" i="30"/>
  <c r="D26" i="30"/>
  <c r="D27" i="30"/>
  <c r="D28" i="30"/>
  <c r="D29" i="30"/>
  <c r="D30" i="30"/>
  <c r="D31" i="30"/>
  <c r="D32" i="30"/>
  <c r="D33" i="30"/>
  <c r="D34" i="30"/>
  <c r="D35" i="30"/>
  <c r="D36" i="30"/>
  <c r="D37" i="30"/>
  <c r="D38" i="30"/>
  <c r="D39" i="30"/>
  <c r="D40" i="30"/>
  <c r="D41" i="30"/>
  <c r="D42" i="30"/>
  <c r="D43" i="30"/>
  <c r="D44" i="30"/>
  <c r="D45" i="30"/>
  <c r="D46" i="30"/>
  <c r="D47" i="30"/>
  <c r="D48" i="30"/>
  <c r="D49" i="30"/>
  <c r="D50" i="30"/>
  <c r="D51" i="30"/>
  <c r="D52" i="30"/>
  <c r="D53" i="30"/>
  <c r="D54" i="30"/>
  <c r="D55" i="30"/>
  <c r="D56" i="30"/>
  <c r="D57" i="30"/>
  <c r="D58" i="30"/>
  <c r="D59" i="30"/>
  <c r="D60" i="30"/>
  <c r="D61" i="30"/>
  <c r="D62" i="30"/>
  <c r="D63" i="30"/>
  <c r="D64" i="30"/>
  <c r="D65" i="30"/>
  <c r="D66" i="30"/>
  <c r="D67" i="30"/>
  <c r="D68" i="30"/>
  <c r="D69" i="30"/>
  <c r="D70" i="30"/>
  <c r="D71" i="30"/>
  <c r="D72" i="30"/>
  <c r="D73" i="30"/>
  <c r="D74" i="30"/>
  <c r="D75" i="30"/>
  <c r="D76" i="30"/>
  <c r="D77" i="30"/>
  <c r="D78" i="30"/>
  <c r="D79" i="30"/>
  <c r="D80" i="30"/>
  <c r="D81" i="30"/>
  <c r="D82" i="30"/>
  <c r="D83" i="30"/>
  <c r="D84" i="30"/>
  <c r="D85" i="30"/>
  <c r="D86" i="30"/>
  <c r="D87" i="30"/>
  <c r="D88" i="30"/>
  <c r="D89" i="30"/>
  <c r="D90" i="30"/>
  <c r="D91" i="30"/>
  <c r="D92" i="30"/>
  <c r="D93" i="30"/>
  <c r="D94" i="30"/>
  <c r="D95" i="30"/>
  <c r="D96" i="30"/>
  <c r="D97" i="30"/>
  <c r="D98" i="30"/>
  <c r="D99" i="30"/>
  <c r="D100" i="30"/>
  <c r="D101" i="30"/>
  <c r="D102" i="30"/>
  <c r="D103" i="30"/>
  <c r="D104" i="30"/>
  <c r="D105" i="30"/>
  <c r="D106" i="30"/>
  <c r="D107" i="30"/>
  <c r="D108" i="30"/>
  <c r="D109" i="30"/>
  <c r="D110" i="30"/>
  <c r="D111" i="30"/>
  <c r="D112" i="30"/>
  <c r="D113" i="30"/>
  <c r="D114" i="30"/>
  <c r="D115" i="30"/>
  <c r="D116" i="30"/>
  <c r="D117" i="30"/>
  <c r="D118" i="30"/>
  <c r="D119" i="30"/>
  <c r="D120" i="30"/>
  <c r="D121" i="30"/>
  <c r="D122" i="30"/>
  <c r="D123" i="30"/>
  <c r="D124" i="30"/>
  <c r="D125" i="30"/>
  <c r="D126" i="30"/>
  <c r="D127" i="30"/>
  <c r="D128" i="30"/>
  <c r="D129" i="30"/>
  <c r="D130" i="30"/>
  <c r="D2" i="30"/>
  <c r="C3" i="30"/>
  <c r="C4" i="30"/>
  <c r="C5" i="30"/>
  <c r="C6" i="30"/>
  <c r="C7" i="30"/>
  <c r="C8" i="30"/>
  <c r="C9" i="30"/>
  <c r="C10" i="30"/>
  <c r="C11" i="30"/>
  <c r="C12" i="30"/>
  <c r="C13" i="30"/>
  <c r="C14" i="30"/>
  <c r="C15" i="30"/>
  <c r="C16" i="30"/>
  <c r="C17" i="30"/>
  <c r="C18" i="30"/>
  <c r="C19" i="30"/>
  <c r="C20" i="30"/>
  <c r="C21" i="30"/>
  <c r="C22" i="30"/>
  <c r="C23" i="30"/>
  <c r="C24" i="30"/>
  <c r="C25" i="30"/>
  <c r="C26" i="30"/>
  <c r="C27" i="30"/>
  <c r="C28" i="30"/>
  <c r="C29" i="30"/>
  <c r="C30" i="30"/>
  <c r="C31" i="30"/>
  <c r="C32" i="30"/>
  <c r="C33" i="30"/>
  <c r="C34" i="30"/>
  <c r="C35" i="30"/>
  <c r="C36" i="30"/>
  <c r="C37" i="30"/>
  <c r="C38" i="30"/>
  <c r="C39" i="30"/>
  <c r="C40" i="30"/>
  <c r="C41" i="30"/>
  <c r="C42" i="30"/>
  <c r="C43" i="30"/>
  <c r="C44" i="30"/>
  <c r="C45" i="30"/>
  <c r="C46" i="30"/>
  <c r="C47" i="30"/>
  <c r="C48" i="30"/>
  <c r="C49" i="30"/>
  <c r="C50" i="30"/>
  <c r="C51" i="30"/>
  <c r="C52" i="30"/>
  <c r="C53" i="30"/>
  <c r="C54" i="30"/>
  <c r="C55" i="30"/>
  <c r="C56" i="30"/>
  <c r="C57" i="30"/>
  <c r="C58" i="30"/>
  <c r="C59" i="30"/>
  <c r="C60" i="30"/>
  <c r="C61" i="30"/>
  <c r="C62" i="30"/>
  <c r="C63" i="30"/>
  <c r="C64" i="30"/>
  <c r="C65" i="30"/>
  <c r="C66" i="30"/>
  <c r="C67" i="30"/>
  <c r="C68" i="30"/>
  <c r="C69" i="30"/>
  <c r="C70" i="30"/>
  <c r="C71" i="30"/>
  <c r="C72" i="30"/>
  <c r="C73" i="30"/>
  <c r="C74" i="30"/>
  <c r="C75" i="30"/>
  <c r="C76" i="30"/>
  <c r="C77" i="30"/>
  <c r="C78" i="30"/>
  <c r="C79" i="30"/>
  <c r="C80" i="30"/>
  <c r="C81" i="30"/>
  <c r="C82" i="30"/>
  <c r="C83" i="30"/>
  <c r="C84" i="30"/>
  <c r="C85" i="30"/>
  <c r="C86" i="30"/>
  <c r="C87" i="30"/>
  <c r="C88" i="30"/>
  <c r="C89" i="30"/>
  <c r="C90" i="30"/>
  <c r="C91" i="30"/>
  <c r="C92" i="30"/>
  <c r="C93" i="30"/>
  <c r="C94" i="30"/>
  <c r="C95" i="30"/>
  <c r="C96" i="30"/>
  <c r="C97" i="30"/>
  <c r="C98" i="30"/>
  <c r="C99" i="30"/>
  <c r="C100" i="30"/>
  <c r="C101" i="30"/>
  <c r="C102" i="30"/>
  <c r="C103" i="30"/>
  <c r="C104" i="30"/>
  <c r="C105" i="30"/>
  <c r="C106" i="30"/>
  <c r="C107" i="30"/>
  <c r="C108" i="30"/>
  <c r="C109" i="30"/>
  <c r="C110" i="30"/>
  <c r="C111" i="30"/>
  <c r="C112" i="30"/>
  <c r="C113" i="30"/>
  <c r="C114" i="30"/>
  <c r="C115" i="30"/>
  <c r="C116" i="30"/>
  <c r="C117" i="30"/>
  <c r="C118" i="30"/>
  <c r="C119" i="30"/>
  <c r="C120" i="30"/>
  <c r="C121" i="30"/>
  <c r="C122" i="30"/>
  <c r="C123" i="30"/>
  <c r="C124" i="30"/>
  <c r="C125" i="30"/>
  <c r="C126" i="30"/>
  <c r="C127" i="30"/>
  <c r="C128" i="30"/>
  <c r="C129" i="30"/>
  <c r="C130" i="30"/>
  <c r="C2" i="30"/>
  <c r="E13" i="6"/>
  <c r="A3" i="30"/>
  <c r="A4" i="30"/>
  <c r="A5" i="30"/>
  <c r="A6" i="30"/>
  <c r="A7" i="30"/>
  <c r="A8" i="30"/>
  <c r="A9" i="30"/>
  <c r="A10" i="30"/>
  <c r="A11" i="30"/>
  <c r="A12" i="30"/>
  <c r="A13" i="30"/>
  <c r="A14" i="30"/>
  <c r="A15" i="30"/>
  <c r="A16" i="30"/>
  <c r="A17" i="30"/>
  <c r="A18" i="30"/>
  <c r="A19" i="30"/>
  <c r="A20" i="30"/>
  <c r="A21" i="30"/>
  <c r="A22" i="30"/>
  <c r="A23" i="30"/>
  <c r="A24" i="30"/>
  <c r="A25" i="30"/>
  <c r="A26" i="30"/>
  <c r="A27" i="30"/>
  <c r="A28" i="30"/>
  <c r="A29" i="30"/>
  <c r="A30" i="30"/>
  <c r="A31" i="30"/>
  <c r="A32" i="30"/>
  <c r="A33" i="30"/>
  <c r="A34" i="30"/>
  <c r="A35" i="30"/>
  <c r="A36" i="30"/>
  <c r="A37" i="30"/>
  <c r="A38" i="30"/>
  <c r="A39" i="30"/>
  <c r="A40" i="30"/>
  <c r="A41" i="30"/>
  <c r="A42" i="30"/>
  <c r="A43" i="30"/>
  <c r="A44" i="30"/>
  <c r="A45" i="30"/>
  <c r="A46" i="30"/>
  <c r="A47" i="30"/>
  <c r="A48" i="30"/>
  <c r="A49" i="30"/>
  <c r="A50" i="30"/>
  <c r="A51" i="30"/>
  <c r="A52" i="30"/>
  <c r="A53" i="30"/>
  <c r="A54" i="30"/>
  <c r="A55" i="30"/>
  <c r="A56" i="30"/>
  <c r="A57" i="30"/>
  <c r="A58" i="30"/>
  <c r="A59" i="30"/>
  <c r="A60" i="30"/>
  <c r="A61" i="30"/>
  <c r="A62" i="30"/>
  <c r="A63" i="30"/>
  <c r="A64" i="30"/>
  <c r="A65" i="30"/>
  <c r="A66" i="30"/>
  <c r="A67" i="30"/>
  <c r="A68" i="30"/>
  <c r="A69" i="30"/>
  <c r="A70" i="30"/>
  <c r="A71" i="30"/>
  <c r="A72" i="30"/>
  <c r="A73" i="30"/>
  <c r="A74" i="30"/>
  <c r="A75" i="30"/>
  <c r="A76" i="30"/>
  <c r="A77" i="30"/>
  <c r="A78" i="30"/>
  <c r="A79" i="30"/>
  <c r="A80" i="30"/>
  <c r="A81" i="30"/>
  <c r="A82" i="30"/>
  <c r="A83" i="30"/>
  <c r="A84" i="30"/>
  <c r="A85" i="30"/>
  <c r="A86" i="30"/>
  <c r="A87" i="30"/>
  <c r="A88" i="30"/>
  <c r="A89" i="30"/>
  <c r="A90" i="30"/>
  <c r="A91" i="30"/>
  <c r="A92" i="30"/>
  <c r="A93" i="30"/>
  <c r="A94" i="30"/>
  <c r="A95" i="30"/>
  <c r="A96" i="30"/>
  <c r="A97" i="30"/>
  <c r="A98" i="30"/>
  <c r="A99" i="30"/>
  <c r="A100" i="30"/>
  <c r="A101" i="30"/>
  <c r="A102" i="30"/>
  <c r="A103" i="30"/>
  <c r="A104" i="30"/>
  <c r="A105" i="30"/>
  <c r="A106" i="30"/>
  <c r="A107" i="30"/>
  <c r="A108" i="30"/>
  <c r="A109" i="30"/>
  <c r="A110" i="30"/>
  <c r="A111" i="30"/>
  <c r="A112" i="30"/>
  <c r="A113" i="30"/>
  <c r="A114" i="30"/>
  <c r="A115" i="30"/>
  <c r="A116" i="30"/>
  <c r="A117" i="30"/>
  <c r="A118" i="30"/>
  <c r="A119" i="30"/>
  <c r="A120" i="30"/>
  <c r="A121" i="30"/>
  <c r="A122" i="30"/>
  <c r="A123" i="30"/>
  <c r="A124" i="30"/>
  <c r="A125" i="30"/>
  <c r="A126" i="30"/>
  <c r="A127" i="30"/>
  <c r="A128" i="30"/>
  <c r="A129" i="30"/>
  <c r="A130" i="30"/>
  <c r="B26" i="30"/>
  <c r="AM33" i="1"/>
  <c r="AK2" i="1"/>
  <c r="AK3" i="1"/>
  <c r="O9" i="24" l="1"/>
  <c r="N9" i="24"/>
  <c r="AU21" i="1" l="1"/>
  <c r="AU170" i="1"/>
  <c r="AU169" i="1"/>
  <c r="AU168" i="1"/>
  <c r="AU167" i="1"/>
  <c r="AU164" i="1"/>
  <c r="AU163" i="1"/>
  <c r="AU162" i="1"/>
  <c r="AU161" i="1"/>
  <c r="AU160" i="1"/>
  <c r="AU159" i="1"/>
  <c r="AU158" i="1"/>
  <c r="AU156" i="1"/>
  <c r="AU155" i="1"/>
  <c r="AU154" i="1"/>
  <c r="AU153" i="1"/>
  <c r="AU152" i="1"/>
  <c r="AU147" i="1"/>
  <c r="AU146" i="1"/>
  <c r="AU142" i="1"/>
  <c r="AU141" i="1"/>
  <c r="AU140" i="1"/>
  <c r="AU139" i="1"/>
  <c r="AU138" i="1"/>
  <c r="AU137" i="1"/>
  <c r="AU133" i="1"/>
  <c r="AU132" i="1"/>
  <c r="AU131" i="1"/>
  <c r="AU130" i="1"/>
  <c r="AU129" i="1"/>
  <c r="AU128" i="1"/>
  <c r="AU127" i="1"/>
  <c r="AU126" i="1"/>
  <c r="AU125" i="1"/>
  <c r="AU122" i="1"/>
  <c r="AU121" i="1"/>
  <c r="AU120" i="1"/>
  <c r="AU117" i="1"/>
  <c r="AU116" i="1"/>
  <c r="AU115" i="1"/>
  <c r="AU114" i="1"/>
  <c r="AU113" i="1"/>
  <c r="AU112" i="1"/>
  <c r="AU111" i="1"/>
  <c r="AU110" i="1"/>
  <c r="AU109" i="1"/>
  <c r="AU108" i="1"/>
  <c r="AU107" i="1"/>
  <c r="AU106" i="1"/>
  <c r="AU105" i="1"/>
  <c r="AU104" i="1"/>
  <c r="AU102" i="1"/>
  <c r="AU101" i="1"/>
  <c r="AU100" i="1"/>
  <c r="AU99" i="1"/>
  <c r="AU98" i="1"/>
  <c r="AU96" i="1"/>
  <c r="AU95" i="1"/>
  <c r="AU94" i="1"/>
  <c r="AU91" i="1"/>
  <c r="AU90" i="1"/>
  <c r="AU89" i="1"/>
  <c r="AU88" i="1"/>
  <c r="AU87" i="1"/>
  <c r="AU86" i="1"/>
  <c r="AU85" i="1"/>
  <c r="AU84" i="1"/>
  <c r="AU83" i="1"/>
  <c r="AU82" i="1"/>
  <c r="AU81" i="1"/>
  <c r="AU80" i="1"/>
  <c r="AU79" i="1"/>
  <c r="AU78" i="1"/>
  <c r="AU77" i="1"/>
  <c r="AU76" i="1"/>
  <c r="AU75" i="1"/>
  <c r="AU74" i="1"/>
  <c r="AU73" i="1"/>
  <c r="AU71" i="1"/>
  <c r="AU70" i="1"/>
  <c r="AU69" i="1"/>
  <c r="AU68" i="1"/>
  <c r="AU67" i="1"/>
  <c r="AU66" i="1"/>
  <c r="AU65" i="1"/>
  <c r="AU63" i="1"/>
  <c r="AU62" i="1"/>
  <c r="AU61" i="1"/>
  <c r="AU60" i="1"/>
  <c r="AU59" i="1"/>
  <c r="AU58" i="1"/>
  <c r="AU57" i="1"/>
  <c r="AU56" i="1"/>
  <c r="AU55" i="1"/>
  <c r="AU54" i="1"/>
  <c r="AU53" i="1"/>
  <c r="AU42" i="1"/>
  <c r="AU43" i="1"/>
  <c r="AU44" i="1"/>
  <c r="AU45" i="1"/>
  <c r="AU46" i="1"/>
  <c r="AU47" i="1"/>
  <c r="AU48" i="1"/>
  <c r="AU49" i="1"/>
  <c r="AU50" i="1"/>
  <c r="AU41" i="1"/>
  <c r="AU26" i="1"/>
  <c r="AU27" i="1"/>
  <c r="AU28" i="1"/>
  <c r="AU29" i="1"/>
  <c r="AU30" i="1"/>
  <c r="AU31" i="1"/>
  <c r="AU32" i="1"/>
  <c r="AU33" i="1"/>
  <c r="AU34" i="1"/>
  <c r="AU35" i="1"/>
  <c r="AU36" i="1"/>
  <c r="AU37" i="1"/>
  <c r="AU38" i="1"/>
  <c r="AU39" i="1"/>
  <c r="AU25" i="1"/>
  <c r="AU23" i="1"/>
  <c r="AU22" i="1"/>
  <c r="AU20" i="1"/>
  <c r="AU19" i="1"/>
  <c r="AU18" i="1"/>
  <c r="AU15" i="1"/>
  <c r="AU11" i="1"/>
  <c r="AU12" i="1"/>
  <c r="AU10" i="1"/>
  <c r="C4" i="1"/>
  <c r="C5" i="1" s="1"/>
  <c r="AM11" i="1"/>
  <c r="AN11" i="1"/>
  <c r="AO11" i="1"/>
  <c r="AM12" i="1"/>
  <c r="AN12" i="1"/>
  <c r="AO12" i="1"/>
  <c r="AM15" i="1"/>
  <c r="AN15" i="1"/>
  <c r="AO15" i="1"/>
  <c r="AL18" i="1"/>
  <c r="AN18" i="1"/>
  <c r="AO18" i="1"/>
  <c r="AL19" i="1"/>
  <c r="AN19" i="1"/>
  <c r="AO19" i="1"/>
  <c r="AL20" i="1"/>
  <c r="AN20" i="1"/>
  <c r="AO20" i="1"/>
  <c r="AL21" i="1"/>
  <c r="AN21" i="1"/>
  <c r="AO21" i="1"/>
  <c r="AL22" i="1"/>
  <c r="AN22" i="1"/>
  <c r="AO22" i="1"/>
  <c r="AL23" i="1"/>
  <c r="AN23" i="1"/>
  <c r="AO23" i="1"/>
  <c r="AM25" i="1"/>
  <c r="AN25" i="1"/>
  <c r="AO25" i="1"/>
  <c r="AL26" i="1"/>
  <c r="AN26" i="1"/>
  <c r="AO26" i="1"/>
  <c r="AL27" i="1"/>
  <c r="AN27" i="1"/>
  <c r="AO27" i="1"/>
  <c r="AL28" i="1"/>
  <c r="AN28" i="1"/>
  <c r="AO28" i="1"/>
  <c r="AL29" i="1"/>
  <c r="AN29" i="1"/>
  <c r="AO29" i="1"/>
  <c r="AL30" i="1"/>
  <c r="AN30" i="1"/>
  <c r="AO30" i="1"/>
  <c r="AL31" i="1"/>
  <c r="AM31" i="1"/>
  <c r="AN31" i="1"/>
  <c r="AL32" i="1"/>
  <c r="AM32" i="1"/>
  <c r="AN32" i="1"/>
  <c r="AL33" i="1"/>
  <c r="AN33" i="1"/>
  <c r="AL34" i="1"/>
  <c r="AM34" i="1"/>
  <c r="AN34" i="1"/>
  <c r="AL35" i="1"/>
  <c r="AM35" i="1"/>
  <c r="AN35" i="1"/>
  <c r="AL36" i="1"/>
  <c r="AM36" i="1"/>
  <c r="AN36" i="1"/>
  <c r="AL37" i="1"/>
  <c r="AM37" i="1"/>
  <c r="AN37" i="1"/>
  <c r="AL38" i="1"/>
  <c r="AM38" i="1"/>
  <c r="AN38" i="1"/>
  <c r="AL39" i="1"/>
  <c r="AM39" i="1"/>
  <c r="AN39" i="1"/>
  <c r="AL41" i="1"/>
  <c r="AN41" i="1"/>
  <c r="AO41" i="1"/>
  <c r="AL42" i="1"/>
  <c r="AN42" i="1"/>
  <c r="AO42" i="1"/>
  <c r="AL43" i="1"/>
  <c r="AN43" i="1"/>
  <c r="AO43" i="1"/>
  <c r="AL44" i="1"/>
  <c r="AN44" i="1"/>
  <c r="AO44" i="1"/>
  <c r="AL45" i="1"/>
  <c r="AN45" i="1"/>
  <c r="AO45" i="1"/>
  <c r="AL46" i="1"/>
  <c r="AN46" i="1"/>
  <c r="AO46" i="1"/>
  <c r="AL47" i="1"/>
  <c r="AN47" i="1"/>
  <c r="AO47" i="1"/>
  <c r="AL48" i="1"/>
  <c r="AN48" i="1"/>
  <c r="AO48" i="1"/>
  <c r="AL49" i="1"/>
  <c r="AN49" i="1"/>
  <c r="AO49" i="1"/>
  <c r="AL50" i="1"/>
  <c r="AM50" i="1"/>
  <c r="AN50" i="1"/>
  <c r="AL53" i="1"/>
  <c r="AN53" i="1"/>
  <c r="AO53" i="1"/>
  <c r="AL54" i="1"/>
  <c r="AN54" i="1"/>
  <c r="AO54" i="1"/>
  <c r="AL55" i="1"/>
  <c r="AN55" i="1"/>
  <c r="AO55" i="1"/>
  <c r="AL56" i="1"/>
  <c r="AM56" i="1"/>
  <c r="AN56" i="1"/>
  <c r="AL57" i="1"/>
  <c r="AM57" i="1"/>
  <c r="AN57" i="1"/>
  <c r="AL58" i="1"/>
  <c r="AM58" i="1"/>
  <c r="AN58" i="1"/>
  <c r="AL59" i="1"/>
  <c r="AM59" i="1"/>
  <c r="AN59" i="1"/>
  <c r="AL60" i="1"/>
  <c r="AM60" i="1"/>
  <c r="AN60" i="1"/>
  <c r="AL61" i="1"/>
  <c r="AM61" i="1"/>
  <c r="AN61" i="1"/>
  <c r="AL62" i="1"/>
  <c r="AM62" i="1"/>
  <c r="AN62" i="1"/>
  <c r="AL63" i="1"/>
  <c r="AM63" i="1"/>
  <c r="AN63" i="1"/>
  <c r="AL65" i="1"/>
  <c r="AM65" i="1"/>
  <c r="AN65" i="1"/>
  <c r="AL66" i="1"/>
  <c r="AM66" i="1"/>
  <c r="AN66" i="1"/>
  <c r="AL67" i="1"/>
  <c r="AM67" i="1"/>
  <c r="AN67" i="1"/>
  <c r="AL68" i="1"/>
  <c r="AM68" i="1"/>
  <c r="AN68" i="1"/>
  <c r="AL69" i="1"/>
  <c r="AM69" i="1"/>
  <c r="AN69" i="1"/>
  <c r="AL70" i="1"/>
  <c r="AM70" i="1"/>
  <c r="AN70" i="1"/>
  <c r="AL71" i="1"/>
  <c r="AM71" i="1"/>
  <c r="AN71" i="1"/>
  <c r="AL73" i="1"/>
  <c r="AN73" i="1"/>
  <c r="AO73" i="1"/>
  <c r="AL74" i="1"/>
  <c r="AN74" i="1"/>
  <c r="AO74" i="1"/>
  <c r="AL75" i="1"/>
  <c r="AN75" i="1"/>
  <c r="AO75" i="1"/>
  <c r="AL76" i="1"/>
  <c r="AN76" i="1"/>
  <c r="AO76" i="1"/>
  <c r="AL77" i="1"/>
  <c r="AN77" i="1"/>
  <c r="AO77" i="1"/>
  <c r="AL78" i="1"/>
  <c r="AN78" i="1"/>
  <c r="AO78" i="1"/>
  <c r="AL79" i="1"/>
  <c r="AN79" i="1"/>
  <c r="AO79" i="1"/>
  <c r="AL80" i="1"/>
  <c r="AN80" i="1"/>
  <c r="AO80" i="1"/>
  <c r="AL81" i="1"/>
  <c r="AN81" i="1"/>
  <c r="AO81" i="1"/>
  <c r="AL82" i="1"/>
  <c r="AN82" i="1"/>
  <c r="AO82" i="1"/>
  <c r="AL83" i="1"/>
  <c r="AN83" i="1"/>
  <c r="AO83" i="1"/>
  <c r="AL84" i="1"/>
  <c r="AN84" i="1"/>
  <c r="AO84" i="1"/>
  <c r="AL85" i="1"/>
  <c r="AN85" i="1"/>
  <c r="AO85" i="1"/>
  <c r="AL86" i="1"/>
  <c r="AN86" i="1"/>
  <c r="AO86" i="1"/>
  <c r="AL87" i="1"/>
  <c r="AN87" i="1"/>
  <c r="AO87" i="1"/>
  <c r="AL88" i="1"/>
  <c r="AN88" i="1"/>
  <c r="AO88" i="1"/>
  <c r="AL89" i="1"/>
  <c r="AN89" i="1"/>
  <c r="AO89" i="1"/>
  <c r="AL90" i="1"/>
  <c r="AN90" i="1"/>
  <c r="AO90" i="1"/>
  <c r="AL91" i="1"/>
  <c r="AN91" i="1"/>
  <c r="AO91" i="1"/>
  <c r="AL94" i="1"/>
  <c r="AM94" i="1"/>
  <c r="AN94" i="1"/>
  <c r="AL95" i="1"/>
  <c r="AM95" i="1"/>
  <c r="AN95" i="1"/>
  <c r="AL96" i="1"/>
  <c r="AM96" i="1"/>
  <c r="AN96" i="1"/>
  <c r="AL98" i="1"/>
  <c r="AM98" i="1"/>
  <c r="AN98" i="1"/>
  <c r="AL99" i="1"/>
  <c r="AN99" i="1"/>
  <c r="AO99" i="1"/>
  <c r="AL100" i="1"/>
  <c r="AN100" i="1"/>
  <c r="AO100" i="1"/>
  <c r="AL101" i="1"/>
  <c r="AN101" i="1"/>
  <c r="AO101" i="1"/>
  <c r="AL102" i="1"/>
  <c r="AN102" i="1"/>
  <c r="AO102" i="1"/>
  <c r="AL104" i="1"/>
  <c r="AN104" i="1"/>
  <c r="AO104" i="1"/>
  <c r="AL105" i="1"/>
  <c r="AN105" i="1"/>
  <c r="AO105" i="1"/>
  <c r="AL106" i="1"/>
  <c r="AN106" i="1"/>
  <c r="AO106" i="1"/>
  <c r="AL107" i="1"/>
  <c r="AN107" i="1"/>
  <c r="AO107" i="1"/>
  <c r="AL108" i="1"/>
  <c r="AN108" i="1"/>
  <c r="AO108" i="1"/>
  <c r="AL109" i="1"/>
  <c r="AN109" i="1"/>
  <c r="AO109" i="1"/>
  <c r="AL110" i="1"/>
  <c r="AN110" i="1"/>
  <c r="AO110" i="1"/>
  <c r="AL111" i="1"/>
  <c r="AN111" i="1"/>
  <c r="AO111" i="1"/>
  <c r="AL112" i="1"/>
  <c r="AN112" i="1"/>
  <c r="AO112" i="1"/>
  <c r="AL113" i="1"/>
  <c r="AN113" i="1"/>
  <c r="AO113" i="1"/>
  <c r="AL114" i="1"/>
  <c r="AN114" i="1"/>
  <c r="AO114" i="1"/>
  <c r="AL115" i="1"/>
  <c r="AN115" i="1"/>
  <c r="AO115" i="1"/>
  <c r="AL116" i="1"/>
  <c r="AN116" i="1"/>
  <c r="AO116" i="1"/>
  <c r="AL117" i="1"/>
  <c r="AN117" i="1"/>
  <c r="AO117" i="1"/>
  <c r="AL120" i="1"/>
  <c r="AN120" i="1"/>
  <c r="AO120" i="1"/>
  <c r="AL121" i="1"/>
  <c r="AN121" i="1"/>
  <c r="AO121" i="1"/>
  <c r="AL122" i="1"/>
  <c r="AN122" i="1"/>
  <c r="AO122" i="1"/>
  <c r="AL123" i="1"/>
  <c r="AN123" i="1"/>
  <c r="AO123" i="1"/>
  <c r="AL125" i="1"/>
  <c r="AN125" i="1"/>
  <c r="AO125" i="1"/>
  <c r="AL126" i="1"/>
  <c r="AN126" i="1"/>
  <c r="AO126" i="1"/>
  <c r="AL127" i="1"/>
  <c r="AN127" i="1"/>
  <c r="AO127" i="1"/>
  <c r="AL128" i="1"/>
  <c r="AN128" i="1"/>
  <c r="AO128" i="1"/>
  <c r="AL129" i="1"/>
  <c r="AN129" i="1"/>
  <c r="AO129" i="1"/>
  <c r="AL130" i="1"/>
  <c r="AN130" i="1"/>
  <c r="AO130" i="1"/>
  <c r="AL131" i="1"/>
  <c r="AN131" i="1"/>
  <c r="AO131" i="1"/>
  <c r="AL132" i="1"/>
  <c r="AN132" i="1"/>
  <c r="AO132" i="1"/>
  <c r="AL133" i="1"/>
  <c r="AN133" i="1"/>
  <c r="AO133" i="1"/>
  <c r="AL134" i="1"/>
  <c r="AN134" i="1"/>
  <c r="AO134" i="1"/>
  <c r="AL137" i="1"/>
  <c r="AN137" i="1"/>
  <c r="AO137" i="1"/>
  <c r="AL138" i="1"/>
  <c r="AN138" i="1"/>
  <c r="AO138" i="1"/>
  <c r="AL139" i="1"/>
  <c r="AM139" i="1"/>
  <c r="AN139" i="1"/>
  <c r="AL140" i="1"/>
  <c r="AM140" i="1"/>
  <c r="AN140" i="1"/>
  <c r="AL141" i="1"/>
  <c r="AM141" i="1"/>
  <c r="AN141" i="1"/>
  <c r="AL142" i="1"/>
  <c r="AN142" i="1"/>
  <c r="AO142" i="1"/>
  <c r="AL146" i="1"/>
  <c r="AN146" i="1"/>
  <c r="AO146" i="1"/>
  <c r="AL147" i="1"/>
  <c r="AN147" i="1"/>
  <c r="AO147" i="1"/>
  <c r="AL152" i="1"/>
  <c r="AM152" i="1"/>
  <c r="AN152" i="1"/>
  <c r="AL153" i="1"/>
  <c r="AM153" i="1"/>
  <c r="AN153" i="1"/>
  <c r="AL154" i="1"/>
  <c r="AM154" i="1"/>
  <c r="AN154" i="1"/>
  <c r="AL155" i="1"/>
  <c r="AM155" i="1"/>
  <c r="AN155" i="1"/>
  <c r="AL156" i="1"/>
  <c r="AM156" i="1"/>
  <c r="AN156" i="1"/>
  <c r="AL158" i="1"/>
  <c r="AM158" i="1"/>
  <c r="AN158" i="1"/>
  <c r="AL159" i="1"/>
  <c r="AM159" i="1"/>
  <c r="AN159" i="1"/>
  <c r="AL160" i="1"/>
  <c r="AM160" i="1"/>
  <c r="AN160" i="1"/>
  <c r="AL161" i="1"/>
  <c r="AM161" i="1"/>
  <c r="AN161" i="1"/>
  <c r="AL162" i="1"/>
  <c r="AM162" i="1"/>
  <c r="AN162" i="1"/>
  <c r="AL163" i="1"/>
  <c r="AM163" i="1"/>
  <c r="AN163" i="1"/>
  <c r="AL164" i="1"/>
  <c r="AM164" i="1"/>
  <c r="AN164" i="1"/>
  <c r="AL165" i="1"/>
  <c r="AM165" i="1"/>
  <c r="AN165" i="1"/>
  <c r="AL167" i="1"/>
  <c r="AN167" i="1"/>
  <c r="AO167" i="1"/>
  <c r="AL168" i="1"/>
  <c r="AM168" i="1"/>
  <c r="AN168" i="1"/>
  <c r="AL169" i="1"/>
  <c r="AM169" i="1"/>
  <c r="AN169" i="1"/>
  <c r="AL170" i="1"/>
  <c r="AN170" i="1"/>
  <c r="AO170" i="1"/>
  <c r="L3" i="26" l="1"/>
  <c r="AT168" i="1" l="1"/>
  <c r="AT167" i="1"/>
  <c r="AT170" i="1"/>
  <c r="AT169" i="1"/>
  <c r="AT164" i="1"/>
  <c r="AT163" i="1"/>
  <c r="AT162" i="1"/>
  <c r="AT160" i="1"/>
  <c r="AT159" i="1"/>
  <c r="AT161" i="1"/>
  <c r="AT158" i="1"/>
  <c r="AT154" i="1"/>
  <c r="AT152" i="1"/>
  <c r="AT153" i="1"/>
  <c r="AT156" i="1"/>
  <c r="AT155" i="1"/>
  <c r="AT147" i="1"/>
  <c r="AT146" i="1"/>
  <c r="AT142" i="1"/>
  <c r="AT140" i="1"/>
  <c r="AT139" i="1"/>
  <c r="AT138" i="1"/>
  <c r="AT137" i="1"/>
  <c r="AT141" i="1"/>
  <c r="AT133" i="1"/>
  <c r="AT132" i="1"/>
  <c r="AT131" i="1"/>
  <c r="AT128" i="1"/>
  <c r="AT130" i="1"/>
  <c r="AT129" i="1"/>
  <c r="AT127" i="1"/>
  <c r="AT126" i="1"/>
  <c r="AT125" i="1"/>
  <c r="AT122" i="1"/>
  <c r="AT121" i="1"/>
  <c r="AT120" i="1"/>
  <c r="AT117" i="1"/>
  <c r="AT109" i="1"/>
  <c r="AT114" i="1"/>
  <c r="AT113" i="1"/>
  <c r="AT116" i="1"/>
  <c r="AT108" i="1"/>
  <c r="AT115" i="1"/>
  <c r="AT107" i="1"/>
  <c r="AT106" i="1"/>
  <c r="AT105" i="1"/>
  <c r="AT112" i="1"/>
  <c r="AT104" i="1"/>
  <c r="AT111" i="1"/>
  <c r="AT110" i="1"/>
  <c r="AT102" i="1"/>
  <c r="AT101" i="1"/>
  <c r="AT100" i="1"/>
  <c r="AT98" i="1"/>
  <c r="AT99" i="1"/>
  <c r="AT96" i="1"/>
  <c r="AT95" i="1"/>
  <c r="AT94" i="1"/>
  <c r="AT91" i="1"/>
  <c r="AT83" i="1"/>
  <c r="AT75" i="1"/>
  <c r="AT81" i="1"/>
  <c r="AT73" i="1"/>
  <c r="AT88" i="1"/>
  <c r="AT79" i="1"/>
  <c r="AT90" i="1"/>
  <c r="AT82" i="1"/>
  <c r="AT74" i="1"/>
  <c r="AT89" i="1"/>
  <c r="AT80" i="1"/>
  <c r="AT86" i="1"/>
  <c r="AT78" i="1"/>
  <c r="AT85" i="1"/>
  <c r="AT77" i="1"/>
  <c r="AT84" i="1"/>
  <c r="AT76" i="1"/>
  <c r="AT87" i="1"/>
  <c r="AT71" i="1"/>
  <c r="AT70" i="1"/>
  <c r="AT69" i="1"/>
  <c r="AT68" i="1"/>
  <c r="AT67" i="1"/>
  <c r="AT66" i="1"/>
  <c r="AT65" i="1"/>
  <c r="AT63" i="1"/>
  <c r="AT55" i="1"/>
  <c r="AT62" i="1"/>
  <c r="AT54" i="1"/>
  <c r="AT61" i="1"/>
  <c r="AT53" i="1"/>
  <c r="AT60" i="1"/>
  <c r="AT59" i="1"/>
  <c r="AT58" i="1"/>
  <c r="AT57" i="1"/>
  <c r="AT56" i="1"/>
  <c r="AT41" i="1"/>
  <c r="AT42" i="1"/>
  <c r="AT50" i="1"/>
  <c r="AT43" i="1"/>
  <c r="AT44" i="1"/>
  <c r="AT45" i="1"/>
  <c r="AT48" i="1"/>
  <c r="AT46" i="1"/>
  <c r="AT49" i="1"/>
  <c r="AT47" i="1"/>
  <c r="AT39" i="1"/>
  <c r="AT31" i="1"/>
  <c r="AT38" i="1"/>
  <c r="AT30" i="1"/>
  <c r="AT37" i="1"/>
  <c r="AT29" i="1"/>
  <c r="AT32" i="1"/>
  <c r="AT36" i="1"/>
  <c r="AT28" i="1"/>
  <c r="AT26" i="1"/>
  <c r="AT33" i="1"/>
  <c r="AT35" i="1"/>
  <c r="AT27" i="1"/>
  <c r="AT34" i="1"/>
  <c r="AT25" i="1"/>
  <c r="AT15" i="1"/>
  <c r="AT23" i="1"/>
  <c r="AT22" i="1"/>
  <c r="AT21" i="1"/>
  <c r="AT20" i="1"/>
  <c r="AT19" i="1"/>
  <c r="AT18" i="1"/>
  <c r="AT10" i="1"/>
  <c r="AT11" i="1"/>
  <c r="AT12" i="1"/>
  <c r="L3" i="29"/>
  <c r="L4" i="29"/>
  <c r="L5" i="29"/>
  <c r="L6" i="29"/>
  <c r="L7" i="29"/>
  <c r="L8" i="29"/>
  <c r="L9" i="29"/>
  <c r="L10" i="29"/>
  <c r="L11" i="29"/>
  <c r="L12" i="29"/>
  <c r="L13" i="29"/>
  <c r="L14" i="29"/>
  <c r="L15" i="29"/>
  <c r="L16" i="29"/>
  <c r="L17" i="29"/>
  <c r="L18" i="29"/>
  <c r="L19" i="29"/>
  <c r="L20" i="29"/>
  <c r="L21" i="29"/>
  <c r="L22" i="29"/>
  <c r="L23" i="29"/>
  <c r="L24" i="29"/>
  <c r="L25" i="29"/>
  <c r="L26" i="29"/>
  <c r="L27" i="29"/>
  <c r="L28" i="29"/>
  <c r="L29" i="29"/>
  <c r="L30" i="29"/>
  <c r="L31" i="29"/>
  <c r="L32" i="29"/>
  <c r="L33" i="29"/>
  <c r="L34" i="29"/>
  <c r="L35" i="29"/>
  <c r="L36" i="29"/>
  <c r="L37" i="29"/>
  <c r="L38" i="29"/>
  <c r="L39" i="29"/>
  <c r="L40" i="29"/>
  <c r="L41" i="29"/>
  <c r="L42" i="29"/>
  <c r="L43" i="29"/>
  <c r="L44" i="29"/>
  <c r="L45" i="29"/>
  <c r="L46" i="29"/>
  <c r="L47" i="29"/>
  <c r="L48" i="29"/>
  <c r="L49" i="29"/>
  <c r="L50" i="29"/>
  <c r="L51" i="29"/>
  <c r="L52" i="29"/>
  <c r="L53" i="29"/>
  <c r="L54" i="29"/>
  <c r="L55" i="29"/>
  <c r="L56" i="29"/>
  <c r="L57" i="29"/>
  <c r="L58" i="29"/>
  <c r="L59" i="29"/>
  <c r="L60" i="29"/>
  <c r="L61" i="29"/>
  <c r="L62" i="29"/>
  <c r="L63" i="29"/>
  <c r="L64" i="29"/>
  <c r="L65" i="29"/>
  <c r="L66" i="29"/>
  <c r="L67" i="29"/>
  <c r="L68" i="29"/>
  <c r="L69" i="29"/>
  <c r="L70" i="29"/>
  <c r="L71" i="29"/>
  <c r="L72" i="29"/>
  <c r="L73" i="29"/>
  <c r="L74" i="29"/>
  <c r="L75" i="29"/>
  <c r="L76" i="29"/>
  <c r="L77" i="29"/>
  <c r="L78" i="29"/>
  <c r="L79" i="29"/>
  <c r="L80" i="29"/>
  <c r="L81" i="29"/>
  <c r="L82" i="29"/>
  <c r="L83" i="29"/>
  <c r="L84" i="29"/>
  <c r="L85" i="29"/>
  <c r="L86" i="29"/>
  <c r="L87" i="29"/>
  <c r="L88" i="29"/>
  <c r="L89" i="29"/>
  <c r="L90" i="29"/>
  <c r="L91" i="29"/>
  <c r="L92" i="29"/>
  <c r="L93" i="29"/>
  <c r="L94" i="29"/>
  <c r="L95" i="29"/>
  <c r="L96" i="29"/>
  <c r="L97" i="29"/>
  <c r="L98" i="29"/>
  <c r="L99" i="29"/>
  <c r="L100" i="29"/>
  <c r="L101" i="29"/>
  <c r="L102" i="29"/>
  <c r="L103" i="29"/>
  <c r="L104" i="29"/>
  <c r="L105" i="29"/>
  <c r="L106" i="29"/>
  <c r="L107" i="29"/>
  <c r="L108" i="29"/>
  <c r="L109" i="29"/>
  <c r="L110" i="29"/>
  <c r="L111" i="29"/>
  <c r="L112" i="29"/>
  <c r="L113" i="29"/>
  <c r="L114" i="29"/>
  <c r="L115" i="29"/>
  <c r="L116" i="29"/>
  <c r="L117" i="29"/>
  <c r="L118" i="29"/>
  <c r="L119" i="29"/>
  <c r="L120" i="29"/>
  <c r="L121" i="29"/>
  <c r="L122" i="29"/>
  <c r="L123" i="29"/>
  <c r="L124" i="29"/>
  <c r="L125" i="29"/>
  <c r="L126" i="29"/>
  <c r="L127" i="29"/>
  <c r="L128" i="29"/>
  <c r="L129" i="29"/>
  <c r="L130" i="29"/>
  <c r="L2" i="29"/>
  <c r="AO10" i="1"/>
  <c r="D9" i="24"/>
  <c r="C9" i="24"/>
  <c r="B9" i="24"/>
  <c r="A2" i="30"/>
  <c r="B3" i="31" l="1"/>
  <c r="B4" i="31" s="1"/>
  <c r="B5" i="31" s="1"/>
  <c r="B6" i="31" s="1"/>
  <c r="B7" i="31" s="1"/>
  <c r="B9" i="31"/>
  <c r="B10" i="31" s="1"/>
  <c r="B11" i="31" s="1"/>
  <c r="B12" i="31" s="1"/>
  <c r="B13" i="31" s="1"/>
  <c r="B15" i="31"/>
  <c r="B16" i="31" s="1"/>
  <c r="B17" i="31" s="1"/>
  <c r="B18" i="31" s="1"/>
  <c r="B19" i="31" s="1"/>
  <c r="B21" i="31"/>
  <c r="B22" i="31" s="1"/>
  <c r="B23" i="31" s="1"/>
  <c r="B24" i="31" s="1"/>
  <c r="B25" i="31" s="1"/>
  <c r="B27" i="31"/>
  <c r="B29" i="31" s="1"/>
  <c r="B30" i="31" s="1"/>
  <c r="B31" i="31" s="1"/>
  <c r="B33" i="31"/>
  <c r="B34" i="31" s="1"/>
  <c r="B35" i="31" s="1"/>
  <c r="B36" i="31" s="1"/>
  <c r="B37" i="31" s="1"/>
  <c r="B39" i="31"/>
  <c r="B40" i="31" s="1"/>
  <c r="B41" i="31" s="1"/>
  <c r="B42" i="31" s="1"/>
  <c r="B43" i="31" s="1"/>
  <c r="B45" i="31"/>
  <c r="B46" i="31" s="1"/>
  <c r="B47" i="31" s="1"/>
  <c r="B48" i="31" s="1"/>
  <c r="B49" i="31" s="1"/>
  <c r="B51" i="31"/>
  <c r="B52" i="31" s="1"/>
  <c r="B53" i="31" s="1"/>
  <c r="B54" i="31" s="1"/>
  <c r="B55" i="31" s="1"/>
  <c r="B63" i="31"/>
  <c r="B64" i="31" s="1"/>
  <c r="B65" i="31" s="1"/>
  <c r="B66" i="31" s="1"/>
  <c r="B67" i="31" s="1"/>
  <c r="B69" i="31"/>
  <c r="B70" i="31" s="1"/>
  <c r="B71" i="31" s="1"/>
  <c r="B72" i="31" s="1"/>
  <c r="B73" i="31" s="1"/>
  <c r="B75" i="31"/>
  <c r="B76" i="31" s="1"/>
  <c r="B77" i="31" s="1"/>
  <c r="B78" i="31" s="1"/>
  <c r="B79" i="31" s="1"/>
  <c r="B81" i="31"/>
  <c r="B82" i="31" s="1"/>
  <c r="B83" i="31" s="1"/>
  <c r="B84" i="31" s="1"/>
  <c r="B85" i="31" s="1"/>
  <c r="AN10" i="1"/>
  <c r="AM10" i="1"/>
  <c r="E11" i="6"/>
  <c r="E12" i="6"/>
  <c r="E14" i="6"/>
  <c r="E15" i="6"/>
  <c r="E18" i="6"/>
  <c r="E19" i="6"/>
  <c r="E20" i="6"/>
  <c r="E21" i="6"/>
  <c r="E22" i="6"/>
  <c r="E23" i="6"/>
  <c r="E25" i="6"/>
  <c r="E26" i="6"/>
  <c r="E27" i="6"/>
  <c r="E28" i="6"/>
  <c r="E29" i="6"/>
  <c r="E30" i="6"/>
  <c r="E31" i="6"/>
  <c r="E32" i="6"/>
  <c r="E33" i="6"/>
  <c r="E34" i="6"/>
  <c r="E35" i="6"/>
  <c r="E36" i="6"/>
  <c r="E37" i="6"/>
  <c r="E38" i="6"/>
  <c r="E39" i="6"/>
  <c r="E41" i="6"/>
  <c r="E42" i="6"/>
  <c r="E43" i="6"/>
  <c r="E44" i="6"/>
  <c r="E45" i="6"/>
  <c r="E46" i="6"/>
  <c r="E47" i="6"/>
  <c r="E48" i="6"/>
  <c r="E49" i="6"/>
  <c r="E50" i="6"/>
  <c r="E53" i="6"/>
  <c r="E54" i="6"/>
  <c r="E55" i="6"/>
  <c r="E56" i="6"/>
  <c r="E57" i="6"/>
  <c r="E58" i="6"/>
  <c r="E59" i="6"/>
  <c r="E60" i="6"/>
  <c r="E61" i="6"/>
  <c r="E62" i="6"/>
  <c r="E63" i="6"/>
  <c r="E65" i="6"/>
  <c r="E66" i="6"/>
  <c r="E67" i="6"/>
  <c r="E68" i="6"/>
  <c r="E69" i="6"/>
  <c r="E70" i="6"/>
  <c r="E71" i="6"/>
  <c r="E73" i="6"/>
  <c r="E74" i="6"/>
  <c r="E75" i="6"/>
  <c r="E76" i="6"/>
  <c r="E77" i="6"/>
  <c r="E78" i="6"/>
  <c r="E79" i="6"/>
  <c r="E80" i="6"/>
  <c r="E81" i="6"/>
  <c r="E82" i="6"/>
  <c r="E83" i="6"/>
  <c r="E84" i="6"/>
  <c r="E85" i="6"/>
  <c r="E86" i="6"/>
  <c r="E87" i="6"/>
  <c r="E88" i="6"/>
  <c r="E89" i="6"/>
  <c r="E90" i="6"/>
  <c r="E91" i="6"/>
  <c r="E94" i="6"/>
  <c r="E95" i="6"/>
  <c r="E96" i="6"/>
  <c r="E98" i="6"/>
  <c r="E99" i="6"/>
  <c r="E100" i="6"/>
  <c r="E101" i="6"/>
  <c r="E102" i="6"/>
  <c r="E103" i="6"/>
  <c r="E104" i="6"/>
  <c r="E105" i="6"/>
  <c r="E106" i="6"/>
  <c r="E107" i="6"/>
  <c r="E108" i="6"/>
  <c r="E109" i="6"/>
  <c r="E110" i="6"/>
  <c r="E111" i="6"/>
  <c r="E112" i="6"/>
  <c r="E113" i="6"/>
  <c r="E114" i="6"/>
  <c r="E115" i="6"/>
  <c r="E116" i="6"/>
  <c r="E117" i="6"/>
  <c r="E118" i="6"/>
  <c r="E120" i="6"/>
  <c r="E121" i="6"/>
  <c r="E122" i="6"/>
  <c r="E123" i="6"/>
  <c r="E125" i="6"/>
  <c r="E126" i="6"/>
  <c r="E127" i="6"/>
  <c r="E128" i="6"/>
  <c r="E129" i="6"/>
  <c r="E130" i="6"/>
  <c r="E131" i="6"/>
  <c r="E132" i="6"/>
  <c r="E133" i="6"/>
  <c r="E134" i="6"/>
  <c r="E138" i="6"/>
  <c r="E139" i="6"/>
  <c r="E140" i="6"/>
  <c r="E141" i="6"/>
  <c r="E142" i="6"/>
  <c r="E143" i="6"/>
  <c r="E144" i="6"/>
  <c r="E145" i="6"/>
  <c r="E147" i="6"/>
  <c r="E148" i="6"/>
  <c r="E152" i="6"/>
  <c r="E154" i="6"/>
  <c r="E155" i="6"/>
  <c r="E156" i="6"/>
  <c r="E157" i="6"/>
  <c r="E158" i="6"/>
  <c r="E160" i="6"/>
  <c r="E161" i="6"/>
  <c r="E162" i="6"/>
  <c r="E163" i="6"/>
  <c r="E164" i="6"/>
  <c r="E165" i="6"/>
  <c r="E166" i="6"/>
  <c r="E167" i="6"/>
  <c r="E169" i="6"/>
  <c r="E170" i="6"/>
  <c r="E171" i="6"/>
  <c r="E172" i="6"/>
  <c r="E10" i="6"/>
  <c r="AJ12" i="1" l="1"/>
  <c r="AL12" i="1" s="1"/>
  <c r="AI19" i="1"/>
  <c r="AH22" i="1"/>
  <c r="AH134" i="1"/>
  <c r="AI23" i="1"/>
  <c r="AJ134" i="1"/>
  <c r="AJ165" i="1"/>
  <c r="AK12" i="1"/>
  <c r="AJ19" i="1"/>
  <c r="AI22" i="1"/>
  <c r="AH20" i="1"/>
  <c r="AK15" i="1"/>
  <c r="AJ23" i="1"/>
  <c r="AH11" i="1"/>
  <c r="AK25" i="1"/>
  <c r="AK102" i="1"/>
  <c r="AM102" i="1" s="1"/>
  <c r="AK19" i="1"/>
  <c r="AM19" i="1" s="1"/>
  <c r="AJ22" i="1"/>
  <c r="AH26" i="1"/>
  <c r="AI20" i="1"/>
  <c r="AJ27" i="1"/>
  <c r="AJ25" i="1"/>
  <c r="AL25" i="1" s="1"/>
  <c r="AK165" i="1"/>
  <c r="AO165" i="1" s="1"/>
  <c r="AH19" i="1"/>
  <c r="AK22" i="1"/>
  <c r="AM22" i="1" s="1"/>
  <c r="AI26" i="1"/>
  <c r="AI15" i="1"/>
  <c r="AH23" i="1"/>
  <c r="AJ20" i="1"/>
  <c r="AK20" i="1"/>
  <c r="AM20" i="1" s="1"/>
  <c r="AK134" i="1"/>
  <c r="AM134" i="1" s="1"/>
  <c r="AK18" i="1"/>
  <c r="AM18" i="1" s="1"/>
  <c r="AJ26" i="1"/>
  <c r="AJ15" i="1"/>
  <c r="AL15" i="1" s="1"/>
  <c r="AI134" i="1"/>
  <c r="AK23" i="1"/>
  <c r="AM23" i="1" s="1"/>
  <c r="AJ21" i="1"/>
  <c r="AK123" i="1"/>
  <c r="AM123" i="1" s="1"/>
  <c r="AH15" i="1"/>
  <c r="AK26" i="1"/>
  <c r="AM26" i="1" s="1"/>
  <c r="AH27" i="1"/>
  <c r="AI27" i="1"/>
  <c r="AI25" i="1"/>
  <c r="AK21" i="1"/>
  <c r="AM21" i="1" s="1"/>
  <c r="AJ102" i="1"/>
  <c r="AI11" i="1"/>
  <c r="AH18" i="1"/>
  <c r="AK27" i="1"/>
  <c r="AM27" i="1" s="1"/>
  <c r="AH123" i="1"/>
  <c r="AJ11" i="1"/>
  <c r="AL11" i="1" s="1"/>
  <c r="AI18" i="1"/>
  <c r="AH21" i="1"/>
  <c r="AI123" i="1"/>
  <c r="AH165" i="1"/>
  <c r="AK11" i="1"/>
  <c r="AJ18" i="1"/>
  <c r="AI21" i="1"/>
  <c r="AH25" i="1"/>
  <c r="AH102" i="1"/>
  <c r="AJ123" i="1"/>
  <c r="AI165" i="1"/>
  <c r="AI102" i="1"/>
  <c r="AH12" i="1"/>
  <c r="AI12" i="1"/>
  <c r="AK31" i="1"/>
  <c r="AO31" i="1" s="1"/>
  <c r="AJ34" i="1"/>
  <c r="AI37" i="1"/>
  <c r="AH41" i="1"/>
  <c r="AK54" i="1"/>
  <c r="AM54" i="1" s="1"/>
  <c r="AJ57" i="1"/>
  <c r="AI60" i="1"/>
  <c r="AH55" i="1"/>
  <c r="AK32" i="1"/>
  <c r="AO32" i="1" s="1"/>
  <c r="AI42" i="1"/>
  <c r="AH48" i="1"/>
  <c r="AI53" i="1"/>
  <c r="AJ53" i="1"/>
  <c r="AJ56" i="1"/>
  <c r="AI39" i="1"/>
  <c r="AJ39" i="1"/>
  <c r="AI28" i="1"/>
  <c r="AH57" i="1"/>
  <c r="AJ54" i="1"/>
  <c r="AK34" i="1"/>
  <c r="AO34" i="1" s="1"/>
  <c r="AJ37" i="1"/>
  <c r="AI41" i="1"/>
  <c r="AH44" i="1"/>
  <c r="AK57" i="1"/>
  <c r="AO57" i="1" s="1"/>
  <c r="AJ60" i="1"/>
  <c r="AH32" i="1"/>
  <c r="AI50" i="1"/>
  <c r="AI38" i="1"/>
  <c r="AI36" i="1"/>
  <c r="AK36" i="1"/>
  <c r="AO36" i="1" s="1"/>
  <c r="AH28" i="1"/>
  <c r="AJ49" i="1"/>
  <c r="AH37" i="1"/>
  <c r="AK37" i="1"/>
  <c r="AO37" i="1" s="1"/>
  <c r="AJ41" i="1"/>
  <c r="AI44" i="1"/>
  <c r="AH47" i="1"/>
  <c r="AK60" i="1"/>
  <c r="AO60" i="1" s="1"/>
  <c r="AK44" i="1"/>
  <c r="AM44" i="1" s="1"/>
  <c r="AK38" i="1"/>
  <c r="AO38" i="1" s="1"/>
  <c r="AJ45" i="1"/>
  <c r="AH56" i="1"/>
  <c r="AH36" i="1"/>
  <c r="AK53" i="1"/>
  <c r="AM53" i="1" s="1"/>
  <c r="AJ36" i="1"/>
  <c r="AK56" i="1"/>
  <c r="AO56" i="1" s="1"/>
  <c r="AK39" i="1"/>
  <c r="AO39" i="1" s="1"/>
  <c r="AH31" i="1"/>
  <c r="AI31" i="1"/>
  <c r="AH29" i="1"/>
  <c r="AK41" i="1"/>
  <c r="AM41" i="1" s="1"/>
  <c r="AJ44" i="1"/>
  <c r="AI47" i="1"/>
  <c r="AH50" i="1"/>
  <c r="AJ47" i="1"/>
  <c r="AH42" i="1"/>
  <c r="AH33" i="1"/>
  <c r="AI33" i="1"/>
  <c r="AK33" i="1"/>
  <c r="AO33" i="1" s="1"/>
  <c r="AK59" i="1"/>
  <c r="AO59" i="1" s="1"/>
  <c r="AH49" i="1"/>
  <c r="AJ46" i="1"/>
  <c r="AJ28" i="1"/>
  <c r="AK28" i="1"/>
  <c r="AM28" i="1" s="1"/>
  <c r="AH60" i="1"/>
  <c r="AI29" i="1"/>
  <c r="AI61" i="1"/>
  <c r="AJ38" i="1"/>
  <c r="AK58" i="1"/>
  <c r="AO58" i="1" s="1"/>
  <c r="AI45" i="1"/>
  <c r="AK42" i="1"/>
  <c r="AM42" i="1" s="1"/>
  <c r="AI30" i="1"/>
  <c r="AK48" i="1"/>
  <c r="AM48" i="1" s="1"/>
  <c r="AJ33" i="1"/>
  <c r="AI59" i="1"/>
  <c r="AH43" i="1"/>
  <c r="AH46" i="1"/>
  <c r="AJ43" i="1"/>
  <c r="AI54" i="1"/>
  <c r="AJ29" i="1"/>
  <c r="AI32" i="1"/>
  <c r="AH35" i="1"/>
  <c r="AK47" i="1"/>
  <c r="AM47" i="1" s="1"/>
  <c r="AJ50" i="1"/>
  <c r="AI55" i="1"/>
  <c r="AH58" i="1"/>
  <c r="AJ58" i="1"/>
  <c r="AK35" i="1"/>
  <c r="AO35" i="1" s="1"/>
  <c r="AH45" i="1"/>
  <c r="AJ61" i="1"/>
  <c r="AK61" i="1"/>
  <c r="AO61" i="1" s="1"/>
  <c r="AH30" i="1"/>
  <c r="AH53" i="1"/>
  <c r="AK45" i="1"/>
  <c r="AM45" i="1" s="1"/>
  <c r="AI56" i="1"/>
  <c r="AK30" i="1"/>
  <c r="AM30" i="1" s="1"/>
  <c r="AJ59" i="1"/>
  <c r="AI43" i="1"/>
  <c r="AK43" i="1"/>
  <c r="AM43" i="1" s="1"/>
  <c r="AK49" i="1"/>
  <c r="AM49" i="1" s="1"/>
  <c r="AK29" i="1"/>
  <c r="AM29" i="1" s="1"/>
  <c r="AJ32" i="1"/>
  <c r="AI35" i="1"/>
  <c r="AH38" i="1"/>
  <c r="AK50" i="1"/>
  <c r="AO50" i="1" s="1"/>
  <c r="AJ55" i="1"/>
  <c r="AI58" i="1"/>
  <c r="AH61" i="1"/>
  <c r="AJ35" i="1"/>
  <c r="AK55" i="1"/>
  <c r="AM55" i="1" s="1"/>
  <c r="AI48" i="1"/>
  <c r="AJ48" i="1"/>
  <c r="AH59" i="1"/>
  <c r="AH39" i="1"/>
  <c r="AI49" i="1"/>
  <c r="AJ31" i="1"/>
  <c r="AJ42" i="1"/>
  <c r="AH54" i="1"/>
  <c r="AK46" i="1"/>
  <c r="AM46" i="1" s="1"/>
  <c r="AI34" i="1"/>
  <c r="AJ30" i="1"/>
  <c r="AI46" i="1"/>
  <c r="AH34" i="1"/>
  <c r="AI57" i="1"/>
  <c r="AH74" i="1"/>
  <c r="AH75" i="1"/>
  <c r="AH76" i="1"/>
  <c r="AH77" i="1"/>
  <c r="AI78" i="1"/>
  <c r="AJ79" i="1"/>
  <c r="AJ80" i="1"/>
  <c r="AJ81" i="1"/>
  <c r="AK82" i="1"/>
  <c r="AM82" i="1" s="1"/>
  <c r="AK83" i="1"/>
  <c r="AM83" i="1" s="1"/>
  <c r="AK84" i="1"/>
  <c r="AM84" i="1" s="1"/>
  <c r="AK85" i="1"/>
  <c r="AM85" i="1" s="1"/>
  <c r="AH104" i="1"/>
  <c r="AH105" i="1"/>
  <c r="AI106" i="1"/>
  <c r="AI107" i="1"/>
  <c r="AI108" i="1"/>
  <c r="AI109" i="1"/>
  <c r="AJ110" i="1"/>
  <c r="AJ111" i="1"/>
  <c r="AJ112" i="1"/>
  <c r="AJ113" i="1"/>
  <c r="AK114" i="1"/>
  <c r="AM114" i="1" s="1"/>
  <c r="AK115" i="1"/>
  <c r="AM115" i="1" s="1"/>
  <c r="AK116" i="1"/>
  <c r="AM116" i="1" s="1"/>
  <c r="AK117" i="1"/>
  <c r="AM117" i="1" s="1"/>
  <c r="AH130" i="1"/>
  <c r="AI131" i="1"/>
  <c r="AI132" i="1"/>
  <c r="AI133" i="1"/>
  <c r="AK137" i="1"/>
  <c r="AM137" i="1" s="1"/>
  <c r="AH146" i="1"/>
  <c r="AI147" i="1"/>
  <c r="AI152" i="1"/>
  <c r="AJ153" i="1"/>
  <c r="AJ154" i="1"/>
  <c r="AJ155" i="1"/>
  <c r="AJ156" i="1"/>
  <c r="AK158" i="1"/>
  <c r="AO158" i="1" s="1"/>
  <c r="AK159" i="1"/>
  <c r="AO159" i="1" s="1"/>
  <c r="AK160" i="1"/>
  <c r="AO160" i="1" s="1"/>
  <c r="AH170" i="1"/>
  <c r="AK156" i="1"/>
  <c r="AO156" i="1" s="1"/>
  <c r="AI170" i="1"/>
  <c r="AH70" i="1"/>
  <c r="AH71" i="1"/>
  <c r="AH73" i="1"/>
  <c r="AI74" i="1"/>
  <c r="AI75" i="1"/>
  <c r="AI76" i="1"/>
  <c r="AI77" i="1"/>
  <c r="AJ78" i="1"/>
  <c r="AK79" i="1"/>
  <c r="AM79" i="1" s="1"/>
  <c r="AK80" i="1"/>
  <c r="AM80" i="1" s="1"/>
  <c r="AK81" i="1"/>
  <c r="AM81" i="1" s="1"/>
  <c r="AH91" i="1"/>
  <c r="AH94" i="1"/>
  <c r="AH98" i="1"/>
  <c r="AI104" i="1"/>
  <c r="AI105" i="1"/>
  <c r="AJ106" i="1"/>
  <c r="AJ107" i="1"/>
  <c r="AJ108" i="1"/>
  <c r="AJ109" i="1"/>
  <c r="AK110" i="1"/>
  <c r="AM110" i="1" s="1"/>
  <c r="AK111" i="1"/>
  <c r="AM111" i="1" s="1"/>
  <c r="AK112" i="1"/>
  <c r="AM112" i="1" s="1"/>
  <c r="AK113" i="1"/>
  <c r="AM113" i="1" s="1"/>
  <c r="AH127" i="1"/>
  <c r="AH128" i="1"/>
  <c r="AH129" i="1"/>
  <c r="AI130" i="1"/>
  <c r="AJ131" i="1"/>
  <c r="AJ132" i="1"/>
  <c r="AJ133" i="1"/>
  <c r="AH142" i="1"/>
  <c r="AI146" i="1"/>
  <c r="AJ147" i="1"/>
  <c r="AJ152" i="1"/>
  <c r="AK153" i="1"/>
  <c r="AO153" i="1" s="1"/>
  <c r="AK154" i="1"/>
  <c r="AO154" i="1" s="1"/>
  <c r="AK155" i="1"/>
  <c r="AO155" i="1" s="1"/>
  <c r="AH169" i="1"/>
  <c r="AH69" i="1"/>
  <c r="AI70" i="1"/>
  <c r="AI71" i="1"/>
  <c r="AI73" i="1"/>
  <c r="AJ74" i="1"/>
  <c r="AJ75" i="1"/>
  <c r="AJ76" i="1"/>
  <c r="AJ77" i="1"/>
  <c r="AK78" i="1"/>
  <c r="AM78" i="1" s="1"/>
  <c r="AH90" i="1"/>
  <c r="AI91" i="1"/>
  <c r="AI94" i="1"/>
  <c r="AH95" i="1"/>
  <c r="AH96" i="1"/>
  <c r="AI98" i="1"/>
  <c r="AH99" i="1"/>
  <c r="AH100" i="1"/>
  <c r="AH101" i="1"/>
  <c r="AJ104" i="1"/>
  <c r="AJ105" i="1"/>
  <c r="AK106" i="1"/>
  <c r="AM106" i="1" s="1"/>
  <c r="AK107" i="1"/>
  <c r="AM107" i="1" s="1"/>
  <c r="AK108" i="1"/>
  <c r="AM108" i="1" s="1"/>
  <c r="AK109" i="1"/>
  <c r="AM109" i="1" s="1"/>
  <c r="AH126" i="1"/>
  <c r="AI127" i="1"/>
  <c r="AI128" i="1"/>
  <c r="AI129" i="1"/>
  <c r="AJ130" i="1"/>
  <c r="AK131" i="1"/>
  <c r="AM131" i="1" s="1"/>
  <c r="AK132" i="1"/>
  <c r="AM132" i="1" s="1"/>
  <c r="AK133" i="1"/>
  <c r="AM133" i="1" s="1"/>
  <c r="AH141" i="1"/>
  <c r="AI142" i="1"/>
  <c r="AJ146" i="1"/>
  <c r="AK147" i="1"/>
  <c r="AM147" i="1" s="1"/>
  <c r="AK152" i="1"/>
  <c r="AO152" i="1" s="1"/>
  <c r="AH167" i="1"/>
  <c r="AH168" i="1"/>
  <c r="AI169" i="1"/>
  <c r="AJ170" i="1"/>
  <c r="AH66" i="1"/>
  <c r="AH67" i="1"/>
  <c r="AH68" i="1"/>
  <c r="AI69" i="1"/>
  <c r="AJ70" i="1"/>
  <c r="AJ71" i="1"/>
  <c r="AJ73" i="1"/>
  <c r="AK74" i="1"/>
  <c r="AM74" i="1" s="1"/>
  <c r="AK75" i="1"/>
  <c r="AM75" i="1" s="1"/>
  <c r="AK76" i="1"/>
  <c r="AM76" i="1" s="1"/>
  <c r="AK77" i="1"/>
  <c r="AM77" i="1" s="1"/>
  <c r="AH87" i="1"/>
  <c r="AH88" i="1"/>
  <c r="AH89" i="1"/>
  <c r="AI90" i="1"/>
  <c r="AJ91" i="1"/>
  <c r="AJ94" i="1"/>
  <c r="AI95" i="1"/>
  <c r="AI96" i="1"/>
  <c r="AJ98" i="1"/>
  <c r="AI99" i="1"/>
  <c r="AI100" i="1"/>
  <c r="AI101" i="1"/>
  <c r="AK104" i="1"/>
  <c r="AM104" i="1" s="1"/>
  <c r="AK105" i="1"/>
  <c r="AM105" i="1" s="1"/>
  <c r="AH122" i="1"/>
  <c r="AH125" i="1"/>
  <c r="AI126" i="1"/>
  <c r="AJ127" i="1"/>
  <c r="AJ128" i="1"/>
  <c r="AJ129" i="1"/>
  <c r="AK130" i="1"/>
  <c r="AM130" i="1" s="1"/>
  <c r="AH139" i="1"/>
  <c r="AH140" i="1"/>
  <c r="AI141" i="1"/>
  <c r="AJ142" i="1"/>
  <c r="AK146" i="1"/>
  <c r="AM146" i="1" s="1"/>
  <c r="AI167" i="1"/>
  <c r="AI168" i="1"/>
  <c r="AJ169" i="1"/>
  <c r="AK170" i="1"/>
  <c r="AM170" i="1" s="1"/>
  <c r="AH62" i="1"/>
  <c r="AH63" i="1"/>
  <c r="AH65" i="1"/>
  <c r="AI66" i="1"/>
  <c r="AI67" i="1"/>
  <c r="AI68" i="1"/>
  <c r="AJ69" i="1"/>
  <c r="AK70" i="1"/>
  <c r="AO70" i="1" s="1"/>
  <c r="AK71" i="1"/>
  <c r="AO71" i="1" s="1"/>
  <c r="AK73" i="1"/>
  <c r="AM73" i="1" s="1"/>
  <c r="AH86" i="1"/>
  <c r="AI87" i="1"/>
  <c r="AI88" i="1"/>
  <c r="AI89" i="1"/>
  <c r="AJ90" i="1"/>
  <c r="AK91" i="1"/>
  <c r="AM91" i="1" s="1"/>
  <c r="AK94" i="1"/>
  <c r="AO94" i="1" s="1"/>
  <c r="AJ95" i="1"/>
  <c r="AJ96" i="1"/>
  <c r="AK98" i="1"/>
  <c r="AO98" i="1" s="1"/>
  <c r="AJ99" i="1"/>
  <c r="AJ100" i="1"/>
  <c r="AJ101" i="1"/>
  <c r="AH120" i="1"/>
  <c r="AH121" i="1"/>
  <c r="AI122" i="1"/>
  <c r="AI125" i="1"/>
  <c r="AJ126" i="1"/>
  <c r="AK127" i="1"/>
  <c r="AM127" i="1" s="1"/>
  <c r="AK128" i="1"/>
  <c r="AM128" i="1" s="1"/>
  <c r="AK129" i="1"/>
  <c r="AM129" i="1" s="1"/>
  <c r="AH138" i="1"/>
  <c r="AI139" i="1"/>
  <c r="AI140" i="1"/>
  <c r="AJ141" i="1"/>
  <c r="AK142" i="1"/>
  <c r="AM142" i="1" s="1"/>
  <c r="AH161" i="1"/>
  <c r="AH162" i="1"/>
  <c r="AH163" i="1"/>
  <c r="AH164" i="1"/>
  <c r="AJ167" i="1"/>
  <c r="AJ168" i="1"/>
  <c r="AK169" i="1"/>
  <c r="AO169" i="1" s="1"/>
  <c r="AK168" i="1"/>
  <c r="AO168" i="1" s="1"/>
  <c r="AI62" i="1"/>
  <c r="AI63" i="1"/>
  <c r="AI65" i="1"/>
  <c r="AJ66" i="1"/>
  <c r="AJ67" i="1"/>
  <c r="AJ68" i="1"/>
  <c r="AK69" i="1"/>
  <c r="AO69" i="1" s="1"/>
  <c r="AH82" i="1"/>
  <c r="AH83" i="1"/>
  <c r="AH84" i="1"/>
  <c r="AH85" i="1"/>
  <c r="AI86" i="1"/>
  <c r="AJ87" i="1"/>
  <c r="AJ88" i="1"/>
  <c r="AJ89" i="1"/>
  <c r="AK90" i="1"/>
  <c r="AM90" i="1" s="1"/>
  <c r="AK95" i="1"/>
  <c r="AO95" i="1" s="1"/>
  <c r="AK96" i="1"/>
  <c r="AO96" i="1" s="1"/>
  <c r="AK99" i="1"/>
  <c r="AM99" i="1" s="1"/>
  <c r="AK100" i="1"/>
  <c r="AM100" i="1" s="1"/>
  <c r="AK101" i="1"/>
  <c r="AM101" i="1" s="1"/>
  <c r="AH114" i="1"/>
  <c r="AH115" i="1"/>
  <c r="AH116" i="1"/>
  <c r="AH117" i="1"/>
  <c r="AI120" i="1"/>
  <c r="AI121" i="1"/>
  <c r="AJ122" i="1"/>
  <c r="AJ125" i="1"/>
  <c r="AK126" i="1"/>
  <c r="AM126" i="1" s="1"/>
  <c r="AH137" i="1"/>
  <c r="AI138" i="1"/>
  <c r="AJ139" i="1"/>
  <c r="AJ140" i="1"/>
  <c r="AK141" i="1"/>
  <c r="AO141" i="1" s="1"/>
  <c r="AH158" i="1"/>
  <c r="AH159" i="1"/>
  <c r="AH160" i="1"/>
  <c r="AI161" i="1"/>
  <c r="AI162" i="1"/>
  <c r="AI163" i="1"/>
  <c r="AI164" i="1"/>
  <c r="AK167" i="1"/>
  <c r="AM167" i="1" s="1"/>
  <c r="AJ62" i="1"/>
  <c r="AJ63" i="1"/>
  <c r="AJ65" i="1"/>
  <c r="AK66" i="1"/>
  <c r="AO66" i="1" s="1"/>
  <c r="AK67" i="1"/>
  <c r="AO67" i="1" s="1"/>
  <c r="AK68" i="1"/>
  <c r="AO68" i="1" s="1"/>
  <c r="AH79" i="1"/>
  <c r="AH80" i="1"/>
  <c r="AH81" i="1"/>
  <c r="AI82" i="1"/>
  <c r="AI83" i="1"/>
  <c r="AI84" i="1"/>
  <c r="AI85" i="1"/>
  <c r="AJ86" i="1"/>
  <c r="AK87" i="1"/>
  <c r="AM87" i="1" s="1"/>
  <c r="AK88" i="1"/>
  <c r="AM88" i="1" s="1"/>
  <c r="AK89" i="1"/>
  <c r="AM89" i="1" s="1"/>
  <c r="AH110" i="1"/>
  <c r="AH111" i="1"/>
  <c r="AH112" i="1"/>
  <c r="AH113" i="1"/>
  <c r="AI114" i="1"/>
  <c r="AI115" i="1"/>
  <c r="AI116" i="1"/>
  <c r="AI117" i="1"/>
  <c r="AJ120" i="1"/>
  <c r="AJ121" i="1"/>
  <c r="AK122" i="1"/>
  <c r="AM122" i="1" s="1"/>
  <c r="AK125" i="1"/>
  <c r="AM125" i="1" s="1"/>
  <c r="AI137" i="1"/>
  <c r="AJ138" i="1"/>
  <c r="AK139" i="1"/>
  <c r="AO139" i="1" s="1"/>
  <c r="AK140" i="1"/>
  <c r="AO140" i="1" s="1"/>
  <c r="AH153" i="1"/>
  <c r="AH154" i="1"/>
  <c r="AH155" i="1"/>
  <c r="AH156" i="1"/>
  <c r="AI158" i="1"/>
  <c r="AI159" i="1"/>
  <c r="AI160" i="1"/>
  <c r="AJ161" i="1"/>
  <c r="AJ162" i="1"/>
  <c r="AJ163" i="1"/>
  <c r="AJ164" i="1"/>
  <c r="AK62" i="1"/>
  <c r="AO62" i="1" s="1"/>
  <c r="AK63" i="1"/>
  <c r="AO63" i="1" s="1"/>
  <c r="AK65" i="1"/>
  <c r="AO65" i="1" s="1"/>
  <c r="AH78" i="1"/>
  <c r="AI79" i="1"/>
  <c r="AI80" i="1"/>
  <c r="AI81" i="1"/>
  <c r="AJ82" i="1"/>
  <c r="AJ83" i="1"/>
  <c r="AJ84" i="1"/>
  <c r="AJ85" i="1"/>
  <c r="AK86" i="1"/>
  <c r="AM86" i="1" s="1"/>
  <c r="AH106" i="1"/>
  <c r="AH107" i="1"/>
  <c r="AH108" i="1"/>
  <c r="AH109" i="1"/>
  <c r="AI110" i="1"/>
  <c r="AI111" i="1"/>
  <c r="AI112" i="1"/>
  <c r="AI113" i="1"/>
  <c r="AJ114" i="1"/>
  <c r="AJ115" i="1"/>
  <c r="AJ116" i="1"/>
  <c r="AJ117" i="1"/>
  <c r="AK120" i="1"/>
  <c r="AM120" i="1" s="1"/>
  <c r="AK121" i="1"/>
  <c r="AM121" i="1" s="1"/>
  <c r="AH131" i="1"/>
  <c r="AH132" i="1"/>
  <c r="AH133" i="1"/>
  <c r="AJ137" i="1"/>
  <c r="AK138" i="1"/>
  <c r="AM138" i="1" s="1"/>
  <c r="AH147" i="1"/>
  <c r="AH152" i="1"/>
  <c r="AI153" i="1"/>
  <c r="AI154" i="1"/>
  <c r="AI155" i="1"/>
  <c r="AI156" i="1"/>
  <c r="AJ158" i="1"/>
  <c r="AJ159" i="1"/>
  <c r="AJ160" i="1"/>
  <c r="AK161" i="1"/>
  <c r="AO161" i="1" s="1"/>
  <c r="AK162" i="1"/>
  <c r="AO162" i="1" s="1"/>
  <c r="AK163" i="1"/>
  <c r="AO163" i="1" s="1"/>
  <c r="AK164" i="1"/>
  <c r="AO164" i="1" s="1"/>
  <c r="N12" i="26" l="1"/>
  <c r="G4" i="30" l="1"/>
  <c r="G12" i="30"/>
  <c r="G20" i="30"/>
  <c r="G28" i="30"/>
  <c r="G36" i="30"/>
  <c r="G44" i="30"/>
  <c r="G52" i="30"/>
  <c r="G60" i="30"/>
  <c r="G68" i="30"/>
  <c r="G76" i="30"/>
  <c r="G84" i="30"/>
  <c r="G92" i="30"/>
  <c r="G100" i="30"/>
  <c r="G108" i="30"/>
  <c r="G116" i="30"/>
  <c r="G124" i="30"/>
  <c r="B3" i="30"/>
  <c r="B5" i="30"/>
  <c r="B7" i="30"/>
  <c r="B9" i="30"/>
  <c r="B11" i="30"/>
  <c r="B13" i="30"/>
  <c r="B15" i="30"/>
  <c r="B17" i="30"/>
  <c r="B19" i="30"/>
  <c r="B21" i="30"/>
  <c r="B23" i="30"/>
  <c r="B25" i="30"/>
  <c r="B27" i="30"/>
  <c r="B29" i="30"/>
  <c r="B31" i="30"/>
  <c r="B33" i="30"/>
  <c r="B35" i="30"/>
  <c r="B37" i="30"/>
  <c r="B39" i="30"/>
  <c r="B41" i="30"/>
  <c r="B43" i="30"/>
  <c r="B45" i="30"/>
  <c r="B47" i="30"/>
  <c r="B49" i="30"/>
  <c r="B51" i="30"/>
  <c r="B53" i="30"/>
  <c r="B55" i="30"/>
  <c r="B57" i="30"/>
  <c r="B59" i="30"/>
  <c r="B61" i="30"/>
  <c r="B63" i="30"/>
  <c r="B65" i="30"/>
  <c r="B67" i="30"/>
  <c r="B69" i="30"/>
  <c r="B71" i="30"/>
  <c r="B73" i="30"/>
  <c r="B75" i="30"/>
  <c r="B77" i="30"/>
  <c r="B79" i="30"/>
  <c r="B81" i="30"/>
  <c r="B83" i="30"/>
  <c r="B85" i="30"/>
  <c r="B87" i="30"/>
  <c r="B89" i="30"/>
  <c r="B91" i="30"/>
  <c r="B93" i="30"/>
  <c r="B95" i="30"/>
  <c r="B97" i="30"/>
  <c r="B99" i="30"/>
  <c r="B101" i="30"/>
  <c r="B103" i="30"/>
  <c r="B105" i="30"/>
  <c r="B107" i="30"/>
  <c r="B109" i="30"/>
  <c r="B111" i="30"/>
  <c r="B113" i="30"/>
  <c r="B115" i="30"/>
  <c r="B117" i="30"/>
  <c r="B119" i="30"/>
  <c r="B121" i="30"/>
  <c r="B123" i="30"/>
  <c r="B125" i="30"/>
  <c r="B127" i="30"/>
  <c r="B129" i="30"/>
  <c r="B2" i="30"/>
  <c r="E16" i="29"/>
  <c r="G6" i="30"/>
  <c r="G22" i="30"/>
  <c r="G5" i="30"/>
  <c r="G13" i="30"/>
  <c r="G21" i="30"/>
  <c r="G29" i="30"/>
  <c r="G37" i="30"/>
  <c r="G45" i="30"/>
  <c r="G53" i="30"/>
  <c r="G61" i="30"/>
  <c r="G69" i="30"/>
  <c r="G77" i="30"/>
  <c r="G85" i="30"/>
  <c r="G93" i="30"/>
  <c r="G101" i="30"/>
  <c r="G109" i="30"/>
  <c r="G117" i="30"/>
  <c r="G125" i="30"/>
  <c r="F16" i="29"/>
  <c r="E81" i="29"/>
  <c r="G14" i="30"/>
  <c r="G30" i="30"/>
  <c r="G8" i="30"/>
  <c r="G16" i="30"/>
  <c r="G24" i="30"/>
  <c r="G32" i="30"/>
  <c r="G40" i="30"/>
  <c r="G48" i="30"/>
  <c r="G56" i="30"/>
  <c r="G64" i="30"/>
  <c r="G72" i="30"/>
  <c r="G80" i="30"/>
  <c r="G88" i="30"/>
  <c r="G96" i="30"/>
  <c r="G104" i="30"/>
  <c r="G112" i="30"/>
  <c r="G120" i="30"/>
  <c r="G128" i="30"/>
  <c r="B4" i="30"/>
  <c r="B6" i="30"/>
  <c r="B8" i="30"/>
  <c r="B10" i="30"/>
  <c r="B12" i="30"/>
  <c r="B14" i="30"/>
  <c r="B16" i="30"/>
  <c r="B18" i="30"/>
  <c r="B20" i="30"/>
  <c r="B22" i="30"/>
  <c r="B24" i="30"/>
  <c r="B30" i="30"/>
  <c r="B32" i="30"/>
  <c r="B34" i="30"/>
  <c r="B36" i="30"/>
  <c r="B38" i="30"/>
  <c r="B40" i="30"/>
  <c r="B42" i="30"/>
  <c r="B44" i="30"/>
  <c r="B46" i="30"/>
  <c r="B48" i="30"/>
  <c r="B50" i="30"/>
  <c r="B52" i="30"/>
  <c r="B54" i="30"/>
  <c r="B56" i="30"/>
  <c r="B58" i="30"/>
  <c r="B60" i="30"/>
  <c r="B62" i="30"/>
  <c r="B64" i="30"/>
  <c r="B66" i="30"/>
  <c r="B68" i="30"/>
  <c r="B70" i="30"/>
  <c r="B72" i="30"/>
  <c r="B74" i="30"/>
  <c r="B76" i="30"/>
  <c r="B78" i="30"/>
  <c r="B80" i="30"/>
  <c r="B82" i="30"/>
  <c r="B84" i="30"/>
  <c r="B86" i="30"/>
  <c r="B88" i="30"/>
  <c r="B90" i="30"/>
  <c r="B92" i="30"/>
  <c r="B94" i="30"/>
  <c r="B96" i="30"/>
  <c r="B98" i="30"/>
  <c r="B100" i="30"/>
  <c r="B102" i="30"/>
  <c r="B104" i="30"/>
  <c r="B106" i="30"/>
  <c r="B108" i="30"/>
  <c r="B110" i="30"/>
  <c r="B112" i="30"/>
  <c r="B114" i="30"/>
  <c r="B116" i="30"/>
  <c r="B118" i="30"/>
  <c r="B120" i="30"/>
  <c r="B122" i="30"/>
  <c r="B124" i="30"/>
  <c r="B126" i="30"/>
  <c r="B128" i="30"/>
  <c r="B130" i="30"/>
  <c r="I16" i="29"/>
  <c r="G9" i="30"/>
  <c r="G7" i="30"/>
  <c r="G25" i="30"/>
  <c r="G39" i="30"/>
  <c r="G51" i="30"/>
  <c r="G65" i="30"/>
  <c r="G78" i="30"/>
  <c r="G90" i="30"/>
  <c r="G103" i="30"/>
  <c r="G115" i="30"/>
  <c r="G129" i="30"/>
  <c r="E11" i="30"/>
  <c r="E14" i="30"/>
  <c r="E27" i="30"/>
  <c r="E30" i="30"/>
  <c r="E43" i="30"/>
  <c r="E46" i="30"/>
  <c r="E59" i="30"/>
  <c r="E62" i="30"/>
  <c r="E75" i="30"/>
  <c r="E78" i="30"/>
  <c r="E91" i="30"/>
  <c r="E94" i="30"/>
  <c r="E107" i="30"/>
  <c r="E110" i="30"/>
  <c r="E123" i="30"/>
  <c r="E126" i="30"/>
  <c r="D16" i="29"/>
  <c r="G16" i="29"/>
  <c r="G43" i="30"/>
  <c r="G57" i="30"/>
  <c r="G82" i="30"/>
  <c r="G121" i="30"/>
  <c r="E9" i="30"/>
  <c r="E25" i="30"/>
  <c r="E44" i="30"/>
  <c r="E76" i="30"/>
  <c r="E108" i="30"/>
  <c r="E116" i="30"/>
  <c r="C16" i="29"/>
  <c r="G10" i="30"/>
  <c r="G26" i="30"/>
  <c r="G41" i="30"/>
  <c r="G54" i="30"/>
  <c r="G66" i="30"/>
  <c r="G79" i="30"/>
  <c r="G91" i="30"/>
  <c r="G105" i="30"/>
  <c r="G118" i="30"/>
  <c r="G130" i="30"/>
  <c r="E5" i="30"/>
  <c r="E8" i="30"/>
  <c r="E21" i="30"/>
  <c r="E24" i="30"/>
  <c r="E37" i="30"/>
  <c r="E40" i="30"/>
  <c r="E53" i="30"/>
  <c r="E56" i="30"/>
  <c r="E69" i="30"/>
  <c r="E72" i="30"/>
  <c r="E85" i="30"/>
  <c r="E88" i="30"/>
  <c r="E101" i="30"/>
  <c r="E104" i="30"/>
  <c r="E117" i="30"/>
  <c r="E120" i="30"/>
  <c r="G15" i="30"/>
  <c r="G70" i="30"/>
  <c r="G107" i="30"/>
  <c r="E12" i="30"/>
  <c r="E41" i="30"/>
  <c r="E60" i="30"/>
  <c r="E89" i="30"/>
  <c r="E105" i="30"/>
  <c r="E124" i="30"/>
  <c r="G11" i="30"/>
  <c r="G27" i="30"/>
  <c r="G42" i="30"/>
  <c r="G55" i="30"/>
  <c r="G67" i="30"/>
  <c r="G81" i="30"/>
  <c r="G94" i="30"/>
  <c r="G106" i="30"/>
  <c r="G119" i="30"/>
  <c r="G2" i="30"/>
  <c r="E15" i="30"/>
  <c r="E18" i="30"/>
  <c r="E31" i="30"/>
  <c r="E34" i="30"/>
  <c r="E47" i="30"/>
  <c r="E50" i="30"/>
  <c r="E63" i="30"/>
  <c r="E66" i="30"/>
  <c r="E79" i="30"/>
  <c r="E82" i="30"/>
  <c r="E95" i="30"/>
  <c r="E98" i="30"/>
  <c r="E111" i="30"/>
  <c r="E114" i="30"/>
  <c r="E127" i="30"/>
  <c r="E130" i="30"/>
  <c r="H16" i="29"/>
  <c r="G31" i="30"/>
  <c r="G95" i="30"/>
  <c r="E28" i="30"/>
  <c r="E57" i="30"/>
  <c r="E73" i="30"/>
  <c r="E92" i="30"/>
  <c r="E121" i="30"/>
  <c r="G17" i="30"/>
  <c r="G33" i="30"/>
  <c r="G46" i="30"/>
  <c r="G58" i="30"/>
  <c r="G71" i="30"/>
  <c r="G83" i="30"/>
  <c r="G97" i="30"/>
  <c r="G110" i="30"/>
  <c r="G122" i="30"/>
  <c r="E3" i="30"/>
  <c r="E6" i="30"/>
  <c r="E19" i="30"/>
  <c r="E22" i="30"/>
  <c r="E35" i="30"/>
  <c r="E38" i="30"/>
  <c r="E51" i="30"/>
  <c r="E54" i="30"/>
  <c r="E67" i="30"/>
  <c r="E70" i="30"/>
  <c r="E83" i="30"/>
  <c r="E86" i="30"/>
  <c r="E99" i="30"/>
  <c r="E102" i="30"/>
  <c r="E115" i="30"/>
  <c r="E118" i="30"/>
  <c r="E2" i="30"/>
  <c r="K16" i="29"/>
  <c r="G23" i="30"/>
  <c r="G75" i="30"/>
  <c r="G127" i="30"/>
  <c r="E20" i="30"/>
  <c r="E52" i="30"/>
  <c r="E84" i="30"/>
  <c r="E113" i="30"/>
  <c r="G18" i="30"/>
  <c r="G34" i="30"/>
  <c r="G47" i="30"/>
  <c r="G59" i="30"/>
  <c r="G73" i="30"/>
  <c r="G86" i="30"/>
  <c r="G98" i="30"/>
  <c r="G111" i="30"/>
  <c r="G123" i="30"/>
  <c r="E13" i="30"/>
  <c r="E16" i="30"/>
  <c r="E29" i="30"/>
  <c r="E32" i="30"/>
  <c r="E45" i="30"/>
  <c r="E48" i="30"/>
  <c r="E61" i="30"/>
  <c r="E64" i="30"/>
  <c r="E77" i="30"/>
  <c r="E80" i="30"/>
  <c r="E93" i="30"/>
  <c r="E96" i="30"/>
  <c r="E109" i="30"/>
  <c r="E112" i="30"/>
  <c r="E125" i="30"/>
  <c r="E128" i="30"/>
  <c r="M16" i="29"/>
  <c r="G38" i="30"/>
  <c r="G50" i="30"/>
  <c r="G63" i="30"/>
  <c r="G102" i="30"/>
  <c r="E4" i="30"/>
  <c r="E33" i="30"/>
  <c r="E49" i="30"/>
  <c r="E68" i="30"/>
  <c r="E97" i="30"/>
  <c r="E129" i="30"/>
  <c r="G19" i="30"/>
  <c r="G35" i="30"/>
  <c r="G49" i="30"/>
  <c r="G62" i="30"/>
  <c r="G74" i="30"/>
  <c r="G87" i="30"/>
  <c r="G99" i="30"/>
  <c r="G113" i="30"/>
  <c r="G126" i="30"/>
  <c r="E7" i="30"/>
  <c r="E10" i="30"/>
  <c r="E23" i="30"/>
  <c r="E26" i="30"/>
  <c r="E39" i="30"/>
  <c r="E42" i="30"/>
  <c r="E55" i="30"/>
  <c r="E58" i="30"/>
  <c r="E71" i="30"/>
  <c r="E74" i="30"/>
  <c r="E87" i="30"/>
  <c r="E90" i="30"/>
  <c r="E103" i="30"/>
  <c r="E106" i="30"/>
  <c r="E119" i="30"/>
  <c r="E122" i="30"/>
  <c r="B16" i="29"/>
  <c r="G3" i="30"/>
  <c r="G89" i="30"/>
  <c r="G114" i="30"/>
  <c r="E17" i="30"/>
  <c r="E36" i="30"/>
  <c r="E65" i="30"/>
  <c r="E81" i="30"/>
  <c r="E100" i="30"/>
  <c r="M127" i="29"/>
  <c r="M123" i="29"/>
  <c r="M119" i="29"/>
  <c r="M115" i="29"/>
  <c r="M111" i="29"/>
  <c r="M107" i="29"/>
  <c r="M103" i="29"/>
  <c r="M99" i="29"/>
  <c r="M95" i="29"/>
  <c r="M91" i="29"/>
  <c r="M87" i="29"/>
  <c r="M83" i="29"/>
  <c r="M79" i="29"/>
  <c r="M75" i="29"/>
  <c r="M71" i="29"/>
  <c r="M67" i="29"/>
  <c r="M63" i="29"/>
  <c r="M59" i="29"/>
  <c r="M55" i="29"/>
  <c r="M51" i="29"/>
  <c r="M47" i="29"/>
  <c r="M43" i="29"/>
  <c r="M39" i="29"/>
  <c r="M35" i="29"/>
  <c r="M31" i="29"/>
  <c r="M27" i="29"/>
  <c r="M23" i="29"/>
  <c r="M19" i="29"/>
  <c r="M14" i="29"/>
  <c r="M10" i="29"/>
  <c r="M6" i="29"/>
  <c r="M2" i="29"/>
  <c r="D130" i="29"/>
  <c r="F129" i="29"/>
  <c r="H128" i="29"/>
  <c r="B127" i="29"/>
  <c r="D126" i="29"/>
  <c r="F125" i="29"/>
  <c r="H124" i="29"/>
  <c r="B123" i="29"/>
  <c r="D122" i="29"/>
  <c r="F121" i="29"/>
  <c r="H120" i="29"/>
  <c r="B119" i="29"/>
  <c r="D118" i="29"/>
  <c r="F117" i="29"/>
  <c r="H116" i="29"/>
  <c r="B115" i="29"/>
  <c r="D114" i="29"/>
  <c r="F113" i="29"/>
  <c r="H112" i="29"/>
  <c r="B111" i="29"/>
  <c r="D110" i="29"/>
  <c r="F109" i="29"/>
  <c r="H108" i="29"/>
  <c r="B107" i="29"/>
  <c r="D106" i="29"/>
  <c r="F105" i="29"/>
  <c r="H104" i="29"/>
  <c r="B103" i="29"/>
  <c r="D102" i="29"/>
  <c r="F101" i="29"/>
  <c r="H100" i="29"/>
  <c r="K130" i="29"/>
  <c r="C130" i="29"/>
  <c r="E129" i="29"/>
  <c r="G128" i="29"/>
  <c r="I127" i="29"/>
  <c r="K126" i="29"/>
  <c r="C126" i="29"/>
  <c r="E125" i="29"/>
  <c r="G124" i="29"/>
  <c r="I123" i="29"/>
  <c r="K122" i="29"/>
  <c r="C122" i="29"/>
  <c r="E121" i="29"/>
  <c r="G120" i="29"/>
  <c r="I119" i="29"/>
  <c r="K118" i="29"/>
  <c r="C118" i="29"/>
  <c r="E117" i="29"/>
  <c r="G116" i="29"/>
  <c r="I115" i="29"/>
  <c r="K114" i="29"/>
  <c r="C114" i="29"/>
  <c r="E113" i="29"/>
  <c r="G112" i="29"/>
  <c r="I111" i="29"/>
  <c r="K110" i="29"/>
  <c r="C110" i="29"/>
  <c r="E109" i="29"/>
  <c r="G108" i="29"/>
  <c r="I107" i="29"/>
  <c r="K106" i="29"/>
  <c r="C106" i="29"/>
  <c r="E105" i="29"/>
  <c r="G104" i="29"/>
  <c r="I103" i="29"/>
  <c r="K102" i="29"/>
  <c r="C102" i="29"/>
  <c r="E101" i="29"/>
  <c r="G100" i="29"/>
  <c r="I99" i="29"/>
  <c r="K98" i="29"/>
  <c r="C98" i="29"/>
  <c r="M130" i="29"/>
  <c r="M126" i="29"/>
  <c r="M122" i="29"/>
  <c r="M118" i="29"/>
  <c r="M114" i="29"/>
  <c r="M110" i="29"/>
  <c r="M106" i="29"/>
  <c r="M102" i="29"/>
  <c r="M98" i="29"/>
  <c r="M94" i="29"/>
  <c r="M90" i="29"/>
  <c r="M86" i="29"/>
  <c r="M82" i="29"/>
  <c r="M78" i="29"/>
  <c r="M74" i="29"/>
  <c r="M70" i="29"/>
  <c r="M66" i="29"/>
  <c r="M62" i="29"/>
  <c r="M58" i="29"/>
  <c r="M54" i="29"/>
  <c r="M50" i="29"/>
  <c r="M46" i="29"/>
  <c r="M42" i="29"/>
  <c r="M38" i="29"/>
  <c r="M34" i="29"/>
  <c r="M30" i="29"/>
  <c r="M26" i="29"/>
  <c r="M22" i="29"/>
  <c r="M18" i="29"/>
  <c r="M13" i="29"/>
  <c r="M9" i="29"/>
  <c r="M5" i="29"/>
  <c r="B130" i="29"/>
  <c r="D129" i="29"/>
  <c r="F128" i="29"/>
  <c r="H127" i="29"/>
  <c r="B126" i="29"/>
  <c r="D125" i="29"/>
  <c r="F124" i="29"/>
  <c r="H123" i="29"/>
  <c r="B122" i="29"/>
  <c r="D121" i="29"/>
  <c r="F120" i="29"/>
  <c r="H119" i="29"/>
  <c r="B118" i="29"/>
  <c r="D117" i="29"/>
  <c r="F116" i="29"/>
  <c r="H115" i="29"/>
  <c r="B114" i="29"/>
  <c r="D113" i="29"/>
  <c r="F112" i="29"/>
  <c r="H111" i="29"/>
  <c r="B110" i="29"/>
  <c r="D109" i="29"/>
  <c r="F108" i="29"/>
  <c r="H107" i="29"/>
  <c r="B106" i="29"/>
  <c r="D105" i="29"/>
  <c r="F104" i="29"/>
  <c r="H103" i="29"/>
  <c r="B102" i="29"/>
  <c r="D101" i="29"/>
  <c r="F100" i="29"/>
  <c r="H99" i="29"/>
  <c r="I130" i="29"/>
  <c r="K129" i="29"/>
  <c r="C129" i="29"/>
  <c r="E128" i="29"/>
  <c r="G127" i="29"/>
  <c r="I126" i="29"/>
  <c r="K125" i="29"/>
  <c r="C125" i="29"/>
  <c r="E124" i="29"/>
  <c r="G123" i="29"/>
  <c r="I122" i="29"/>
  <c r="K121" i="29"/>
  <c r="C121" i="29"/>
  <c r="E120" i="29"/>
  <c r="G119" i="29"/>
  <c r="I118" i="29"/>
  <c r="K117" i="29"/>
  <c r="C117" i="29"/>
  <c r="E116" i="29"/>
  <c r="G115" i="29"/>
  <c r="I114" i="29"/>
  <c r="K113" i="29"/>
  <c r="C113" i="29"/>
  <c r="E112" i="29"/>
  <c r="G111" i="29"/>
  <c r="I110" i="29"/>
  <c r="K109" i="29"/>
  <c r="C109" i="29"/>
  <c r="E108" i="29"/>
  <c r="G107" i="29"/>
  <c r="I106" i="29"/>
  <c r="K105" i="29"/>
  <c r="C105" i="29"/>
  <c r="E104" i="29"/>
  <c r="G103" i="29"/>
  <c r="I102" i="29"/>
  <c r="K101" i="29"/>
  <c r="C101" i="29"/>
  <c r="E100" i="29"/>
  <c r="M129" i="29"/>
  <c r="M125" i="29"/>
  <c r="M121" i="29"/>
  <c r="M117" i="29"/>
  <c r="M113" i="29"/>
  <c r="M109" i="29"/>
  <c r="M105" i="29"/>
  <c r="M101" i="29"/>
  <c r="M97" i="29"/>
  <c r="M93" i="29"/>
  <c r="M89" i="29"/>
  <c r="M85" i="29"/>
  <c r="M81" i="29"/>
  <c r="M77" i="29"/>
  <c r="M73" i="29"/>
  <c r="M69" i="29"/>
  <c r="M65" i="29"/>
  <c r="M61" i="29"/>
  <c r="M57" i="29"/>
  <c r="M53" i="29"/>
  <c r="M49" i="29"/>
  <c r="G130" i="29"/>
  <c r="I129" i="29"/>
  <c r="K128" i="29"/>
  <c r="C128" i="29"/>
  <c r="E127" i="29"/>
  <c r="G126" i="29"/>
  <c r="I125" i="29"/>
  <c r="K124" i="29"/>
  <c r="C124" i="29"/>
  <c r="E123" i="29"/>
  <c r="G122" i="29"/>
  <c r="I121" i="29"/>
  <c r="K120" i="29"/>
  <c r="C120" i="29"/>
  <c r="E119" i="29"/>
  <c r="G118" i="29"/>
  <c r="I117" i="29"/>
  <c r="K116" i="29"/>
  <c r="C116" i="29"/>
  <c r="E115" i="29"/>
  <c r="G114" i="29"/>
  <c r="I113" i="29"/>
  <c r="K112" i="29"/>
  <c r="C112" i="29"/>
  <c r="E111" i="29"/>
  <c r="G110" i="29"/>
  <c r="I109" i="29"/>
  <c r="K108" i="29"/>
  <c r="C108" i="29"/>
  <c r="E107" i="29"/>
  <c r="G106" i="29"/>
  <c r="I105" i="29"/>
  <c r="K104" i="29"/>
  <c r="C104" i="29"/>
  <c r="E103" i="29"/>
  <c r="G102" i="29"/>
  <c r="I101" i="29"/>
  <c r="K100" i="29"/>
  <c r="C100" i="29"/>
  <c r="E99" i="29"/>
  <c r="G98" i="29"/>
  <c r="I97" i="29"/>
  <c r="K96" i="29"/>
  <c r="M100" i="29"/>
  <c r="M80" i="29"/>
  <c r="M64" i="29"/>
  <c r="M48" i="29"/>
  <c r="M37" i="29"/>
  <c r="M15" i="29"/>
  <c r="M4" i="29"/>
  <c r="G129" i="29"/>
  <c r="D127" i="29"/>
  <c r="B125" i="29"/>
  <c r="C123" i="29"/>
  <c r="H118" i="29"/>
  <c r="I116" i="29"/>
  <c r="F114" i="29"/>
  <c r="D112" i="29"/>
  <c r="E110" i="29"/>
  <c r="B108" i="29"/>
  <c r="K103" i="29"/>
  <c r="H101" i="29"/>
  <c r="G99" i="29"/>
  <c r="E98" i="29"/>
  <c r="E97" i="29"/>
  <c r="F96" i="29"/>
  <c r="H95" i="29"/>
  <c r="B94" i="29"/>
  <c r="D93" i="29"/>
  <c r="F92" i="29"/>
  <c r="H91" i="29"/>
  <c r="B90" i="29"/>
  <c r="D89" i="29"/>
  <c r="F88" i="29"/>
  <c r="H87" i="29"/>
  <c r="B86" i="29"/>
  <c r="D85" i="29"/>
  <c r="F84" i="29"/>
  <c r="H83" i="29"/>
  <c r="B82" i="29"/>
  <c r="C81" i="29"/>
  <c r="E80" i="29"/>
  <c r="G79" i="29"/>
  <c r="I78" i="29"/>
  <c r="K77" i="29"/>
  <c r="C77" i="29"/>
  <c r="E76" i="29"/>
  <c r="G75" i="29"/>
  <c r="I74" i="29"/>
  <c r="K73" i="29"/>
  <c r="C73" i="29"/>
  <c r="E72" i="29"/>
  <c r="G71" i="29"/>
  <c r="I70" i="29"/>
  <c r="K69" i="29"/>
  <c r="C69" i="29"/>
  <c r="E68" i="29"/>
  <c r="G67" i="29"/>
  <c r="I66" i="29"/>
  <c r="K65" i="29"/>
  <c r="C65" i="29"/>
  <c r="E64" i="29"/>
  <c r="G63" i="29"/>
  <c r="I62" i="29"/>
  <c r="K61" i="29"/>
  <c r="C61" i="29"/>
  <c r="M128" i="29"/>
  <c r="M96" i="29"/>
  <c r="M36" i="29"/>
  <c r="M25" i="29"/>
  <c r="M3" i="29"/>
  <c r="B129" i="29"/>
  <c r="C127" i="29"/>
  <c r="H122" i="29"/>
  <c r="I120" i="29"/>
  <c r="F118" i="29"/>
  <c r="D116" i="29"/>
  <c r="E114" i="29"/>
  <c r="B112" i="29"/>
  <c r="K107" i="29"/>
  <c r="H105" i="29"/>
  <c r="F103" i="29"/>
  <c r="G101" i="29"/>
  <c r="F99" i="29"/>
  <c r="D98" i="29"/>
  <c r="D97" i="29"/>
  <c r="E96" i="29"/>
  <c r="G95" i="29"/>
  <c r="I94" i="29"/>
  <c r="K93" i="29"/>
  <c r="C93" i="29"/>
  <c r="E92" i="29"/>
  <c r="G91" i="29"/>
  <c r="I90" i="29"/>
  <c r="K89" i="29"/>
  <c r="C89" i="29"/>
  <c r="E88" i="29"/>
  <c r="G87" i="29"/>
  <c r="I86" i="29"/>
  <c r="K85" i="29"/>
  <c r="C85" i="29"/>
  <c r="E84" i="29"/>
  <c r="G83" i="29"/>
  <c r="I82" i="29"/>
  <c r="K81" i="29"/>
  <c r="B81" i="29"/>
  <c r="D80" i="29"/>
  <c r="F79" i="29"/>
  <c r="H78" i="29"/>
  <c r="B77" i="29"/>
  <c r="D76" i="29"/>
  <c r="F75" i="29"/>
  <c r="H74" i="29"/>
  <c r="B73" i="29"/>
  <c r="D72" i="29"/>
  <c r="F71" i="29"/>
  <c r="H70" i="29"/>
  <c r="B69" i="29"/>
  <c r="D68" i="29"/>
  <c r="F67" i="29"/>
  <c r="H66" i="29"/>
  <c r="B65" i="29"/>
  <c r="D64" i="29"/>
  <c r="F63" i="29"/>
  <c r="H62" i="29"/>
  <c r="B61" i="29"/>
  <c r="D60" i="29"/>
  <c r="F59" i="29"/>
  <c r="H58" i="29"/>
  <c r="B57" i="29"/>
  <c r="D56" i="29"/>
  <c r="F55" i="29"/>
  <c r="H54" i="29"/>
  <c r="B53" i="29"/>
  <c r="D52" i="29"/>
  <c r="F51" i="29"/>
  <c r="H50" i="29"/>
  <c r="B49" i="29"/>
  <c r="D48" i="29"/>
  <c r="M124" i="29"/>
  <c r="M92" i="29"/>
  <c r="M76" i="29"/>
  <c r="M60" i="29"/>
  <c r="M45" i="29"/>
  <c r="M24" i="29"/>
  <c r="M12" i="29"/>
  <c r="H126" i="29"/>
  <c r="I124" i="29"/>
  <c r="F122" i="29"/>
  <c r="D120" i="29"/>
  <c r="E118" i="29"/>
  <c r="B116" i="29"/>
  <c r="K111" i="29"/>
  <c r="H109" i="29"/>
  <c r="F107" i="29"/>
  <c r="G105" i="29"/>
  <c r="D103" i="29"/>
  <c r="B101" i="29"/>
  <c r="D99" i="29"/>
  <c r="B98" i="29"/>
  <c r="C97" i="29"/>
  <c r="D96" i="29"/>
  <c r="F95" i="29"/>
  <c r="H94" i="29"/>
  <c r="B93" i="29"/>
  <c r="D92" i="29"/>
  <c r="F91" i="29"/>
  <c r="H90" i="29"/>
  <c r="B89" i="29"/>
  <c r="D88" i="29"/>
  <c r="F87" i="29"/>
  <c r="H86" i="29"/>
  <c r="B85" i="29"/>
  <c r="D84" i="29"/>
  <c r="F83" i="29"/>
  <c r="H82" i="29"/>
  <c r="K80" i="29"/>
  <c r="C80" i="29"/>
  <c r="E79" i="29"/>
  <c r="G78" i="29"/>
  <c r="I77" i="29"/>
  <c r="K76" i="29"/>
  <c r="C76" i="29"/>
  <c r="E75" i="29"/>
  <c r="G74" i="29"/>
  <c r="I73" i="29"/>
  <c r="K72" i="29"/>
  <c r="C72" i="29"/>
  <c r="E71" i="29"/>
  <c r="G70" i="29"/>
  <c r="I69" i="29"/>
  <c r="K68" i="29"/>
  <c r="C68" i="29"/>
  <c r="E67" i="29"/>
  <c r="G66" i="29"/>
  <c r="I65" i="29"/>
  <c r="K64" i="29"/>
  <c r="C64" i="29"/>
  <c r="E63" i="29"/>
  <c r="G62" i="29"/>
  <c r="I61" i="29"/>
  <c r="K60" i="29"/>
  <c r="C60" i="29"/>
  <c r="E59" i="29"/>
  <c r="G58" i="29"/>
  <c r="I57" i="29"/>
  <c r="K56" i="29"/>
  <c r="C56" i="29"/>
  <c r="E55" i="29"/>
  <c r="G54" i="29"/>
  <c r="I53" i="29"/>
  <c r="K52" i="29"/>
  <c r="C52" i="29"/>
  <c r="E51" i="29"/>
  <c r="G50" i="29"/>
  <c r="I49" i="29"/>
  <c r="K48" i="29"/>
  <c r="C48" i="29"/>
  <c r="M120" i="29"/>
  <c r="M44" i="29"/>
  <c r="M116" i="29"/>
  <c r="M88" i="29"/>
  <c r="M72" i="29"/>
  <c r="M56" i="29"/>
  <c r="M32" i="29"/>
  <c r="M21" i="29"/>
  <c r="F130" i="29"/>
  <c r="D128" i="29"/>
  <c r="E126" i="29"/>
  <c r="B124" i="29"/>
  <c r="K119" i="29"/>
  <c r="H117" i="29"/>
  <c r="F115" i="29"/>
  <c r="G113" i="29"/>
  <c r="D111" i="29"/>
  <c r="B109" i="29"/>
  <c r="C107" i="29"/>
  <c r="H102" i="29"/>
  <c r="I100" i="29"/>
  <c r="B99" i="29"/>
  <c r="B96" i="29"/>
  <c r="D95" i="29"/>
  <c r="F94" i="29"/>
  <c r="H93" i="29"/>
  <c r="B92" i="29"/>
  <c r="D91" i="29"/>
  <c r="F90" i="29"/>
  <c r="H89" i="29"/>
  <c r="B88" i="29"/>
  <c r="D87" i="29"/>
  <c r="F86" i="29"/>
  <c r="H85" i="29"/>
  <c r="B84" i="29"/>
  <c r="D83" i="29"/>
  <c r="F82" i="29"/>
  <c r="H81" i="29"/>
  <c r="I80" i="29"/>
  <c r="K79" i="29"/>
  <c r="C79" i="29"/>
  <c r="E78" i="29"/>
  <c r="G77" i="29"/>
  <c r="I76" i="29"/>
  <c r="K75" i="29"/>
  <c r="C75" i="29"/>
  <c r="E74" i="29"/>
  <c r="G73" i="29"/>
  <c r="I72" i="29"/>
  <c r="K71" i="29"/>
  <c r="C71" i="29"/>
  <c r="E70" i="29"/>
  <c r="G69" i="29"/>
  <c r="I68" i="29"/>
  <c r="K67" i="29"/>
  <c r="C67" i="29"/>
  <c r="E66" i="29"/>
  <c r="G65" i="29"/>
  <c r="I64" i="29"/>
  <c r="K63" i="29"/>
  <c r="C63" i="29"/>
  <c r="E62" i="29"/>
  <c r="G61" i="29"/>
  <c r="I60" i="29"/>
  <c r="K59" i="29"/>
  <c r="C59" i="29"/>
  <c r="E58" i="29"/>
  <c r="G57" i="29"/>
  <c r="I56" i="29"/>
  <c r="K55" i="29"/>
  <c r="C55" i="29"/>
  <c r="E54" i="29"/>
  <c r="G53" i="29"/>
  <c r="I52" i="29"/>
  <c r="K51" i="29"/>
  <c r="C51" i="29"/>
  <c r="E50" i="29"/>
  <c r="M112" i="29"/>
  <c r="M41" i="29"/>
  <c r="M20" i="29"/>
  <c r="M8" i="29"/>
  <c r="E130" i="29"/>
  <c r="B128" i="29"/>
  <c r="K123" i="29"/>
  <c r="H121" i="29"/>
  <c r="F119" i="29"/>
  <c r="G117" i="29"/>
  <c r="D115" i="29"/>
  <c r="B113" i="29"/>
  <c r="C111" i="29"/>
  <c r="H106" i="29"/>
  <c r="I104" i="29"/>
  <c r="F102" i="29"/>
  <c r="D100" i="29"/>
  <c r="I98" i="29"/>
  <c r="H97" i="29"/>
  <c r="I96" i="29"/>
  <c r="K95" i="29"/>
  <c r="C95" i="29"/>
  <c r="E94" i="29"/>
  <c r="G93" i="29"/>
  <c r="I92" i="29"/>
  <c r="K91" i="29"/>
  <c r="C91" i="29"/>
  <c r="E90" i="29"/>
  <c r="G89" i="29"/>
  <c r="I88" i="29"/>
  <c r="K87" i="29"/>
  <c r="C87" i="29"/>
  <c r="E86" i="29"/>
  <c r="G85" i="29"/>
  <c r="I84" i="29"/>
  <c r="K83" i="29"/>
  <c r="C83" i="29"/>
  <c r="E82" i="29"/>
  <c r="G81" i="29"/>
  <c r="H80" i="29"/>
  <c r="B79" i="29"/>
  <c r="D78" i="29"/>
  <c r="F77" i="29"/>
  <c r="H76" i="29"/>
  <c r="B75" i="29"/>
  <c r="D74" i="29"/>
  <c r="F73" i="29"/>
  <c r="H72" i="29"/>
  <c r="B71" i="29"/>
  <c r="D70" i="29"/>
  <c r="F69" i="29"/>
  <c r="H68" i="29"/>
  <c r="B67" i="29"/>
  <c r="D66" i="29"/>
  <c r="F65" i="29"/>
  <c r="H64" i="29"/>
  <c r="B63" i="29"/>
  <c r="D62" i="29"/>
  <c r="F61" i="29"/>
  <c r="H60" i="29"/>
  <c r="B59" i="29"/>
  <c r="D58" i="29"/>
  <c r="F57" i="29"/>
  <c r="H56" i="29"/>
  <c r="B55" i="29"/>
  <c r="D54" i="29"/>
  <c r="F53" i="29"/>
  <c r="H52" i="29"/>
  <c r="B51" i="29"/>
  <c r="D50" i="29"/>
  <c r="M17" i="29"/>
  <c r="K127" i="29"/>
  <c r="E122" i="29"/>
  <c r="H110" i="29"/>
  <c r="B105" i="29"/>
  <c r="K99" i="29"/>
  <c r="H96" i="29"/>
  <c r="G94" i="29"/>
  <c r="G92" i="29"/>
  <c r="D90" i="29"/>
  <c r="C88" i="29"/>
  <c r="C86" i="29"/>
  <c r="I81" i="29"/>
  <c r="H79" i="29"/>
  <c r="E77" i="29"/>
  <c r="D75" i="29"/>
  <c r="D73" i="29"/>
  <c r="K70" i="29"/>
  <c r="G64" i="29"/>
  <c r="F62" i="29"/>
  <c r="F60" i="29"/>
  <c r="M108" i="29"/>
  <c r="M40" i="29"/>
  <c r="M11" i="29"/>
  <c r="F127" i="29"/>
  <c r="G121" i="29"/>
  <c r="K115" i="29"/>
  <c r="F110" i="29"/>
  <c r="D104" i="29"/>
  <c r="C99" i="29"/>
  <c r="G96" i="29"/>
  <c r="D94" i="29"/>
  <c r="C92" i="29"/>
  <c r="C90" i="29"/>
  <c r="I85" i="29"/>
  <c r="I83" i="29"/>
  <c r="F81" i="29"/>
  <c r="D79" i="29"/>
  <c r="D77" i="29"/>
  <c r="K74" i="29"/>
  <c r="G68" i="29"/>
  <c r="F66" i="29"/>
  <c r="F64" i="29"/>
  <c r="C62" i="29"/>
  <c r="E60" i="29"/>
  <c r="I58" i="29"/>
  <c r="C57" i="29"/>
  <c r="G55" i="29"/>
  <c r="K53" i="29"/>
  <c r="E52" i="29"/>
  <c r="I50" i="29"/>
  <c r="E49" i="29"/>
  <c r="E48" i="29"/>
  <c r="E47" i="29"/>
  <c r="G46" i="29"/>
  <c r="I45" i="29"/>
  <c r="K44" i="29"/>
  <c r="C44" i="29"/>
  <c r="E43" i="29"/>
  <c r="G42" i="29"/>
  <c r="I41" i="29"/>
  <c r="K40" i="29"/>
  <c r="C40" i="29"/>
  <c r="E39" i="29"/>
  <c r="G38" i="29"/>
  <c r="I37" i="29"/>
  <c r="K36" i="29"/>
  <c r="C36" i="29"/>
  <c r="E35" i="29"/>
  <c r="G34" i="29"/>
  <c r="I33" i="29"/>
  <c r="K32" i="29"/>
  <c r="C32" i="29"/>
  <c r="E31" i="29"/>
  <c r="G30" i="29"/>
  <c r="I29" i="29"/>
  <c r="K28" i="29"/>
  <c r="C28" i="29"/>
  <c r="E27" i="29"/>
  <c r="G26" i="29"/>
  <c r="I25" i="29"/>
  <c r="K24" i="29"/>
  <c r="C24" i="29"/>
  <c r="E23" i="29"/>
  <c r="G22" i="29"/>
  <c r="I21" i="29"/>
  <c r="K20" i="29"/>
  <c r="C20" i="29"/>
  <c r="E19" i="29"/>
  <c r="G18" i="29"/>
  <c r="I17" i="29"/>
  <c r="K15" i="29"/>
  <c r="C15" i="29"/>
  <c r="E14" i="29"/>
  <c r="M104" i="29"/>
  <c r="M7" i="29"/>
  <c r="F126" i="29"/>
  <c r="B121" i="29"/>
  <c r="C115" i="29"/>
  <c r="G109" i="29"/>
  <c r="B104" i="29"/>
  <c r="H98" i="29"/>
  <c r="C96" i="29"/>
  <c r="C94" i="29"/>
  <c r="I89" i="29"/>
  <c r="I87" i="29"/>
  <c r="F85" i="29"/>
  <c r="E83" i="29"/>
  <c r="D81" i="29"/>
  <c r="K78" i="29"/>
  <c r="G72" i="29"/>
  <c r="F70" i="29"/>
  <c r="F68" i="29"/>
  <c r="C66" i="29"/>
  <c r="B64" i="29"/>
  <c r="B62" i="29"/>
  <c r="B60" i="29"/>
  <c r="F58" i="29"/>
  <c r="D55" i="29"/>
  <c r="H53" i="29"/>
  <c r="B52" i="29"/>
  <c r="F50" i="29"/>
  <c r="D49" i="29"/>
  <c r="B48" i="29"/>
  <c r="D47" i="29"/>
  <c r="F46" i="29"/>
  <c r="H45" i="29"/>
  <c r="B44" i="29"/>
  <c r="D43" i="29"/>
  <c r="F42" i="29"/>
  <c r="H41" i="29"/>
  <c r="B40" i="29"/>
  <c r="D39" i="29"/>
  <c r="F38" i="29"/>
  <c r="H37" i="29"/>
  <c r="B36" i="29"/>
  <c r="D35" i="29"/>
  <c r="F34" i="29"/>
  <c r="H33" i="29"/>
  <c r="B32" i="29"/>
  <c r="D31" i="29"/>
  <c r="F30" i="29"/>
  <c r="H29" i="29"/>
  <c r="D27" i="29"/>
  <c r="F26" i="29"/>
  <c r="H25" i="29"/>
  <c r="B24" i="29"/>
  <c r="D23" i="29"/>
  <c r="F22" i="29"/>
  <c r="H21" i="29"/>
  <c r="B20" i="29"/>
  <c r="D19" i="29"/>
  <c r="F18" i="29"/>
  <c r="H17" i="29"/>
  <c r="B15" i="29"/>
  <c r="D14" i="29"/>
  <c r="F13" i="29"/>
  <c r="H12" i="29"/>
  <c r="B11" i="29"/>
  <c r="D10" i="29"/>
  <c r="F9" i="29"/>
  <c r="H8" i="29"/>
  <c r="B7" i="29"/>
  <c r="D6" i="29"/>
  <c r="F5" i="29"/>
  <c r="H4" i="29"/>
  <c r="M84" i="29"/>
  <c r="M33" i="29"/>
  <c r="H125" i="29"/>
  <c r="B120" i="29"/>
  <c r="H114" i="29"/>
  <c r="I108" i="29"/>
  <c r="C103" i="29"/>
  <c r="F98" i="29"/>
  <c r="I93" i="29"/>
  <c r="I91" i="29"/>
  <c r="F89" i="29"/>
  <c r="E87" i="29"/>
  <c r="E85" i="29"/>
  <c r="B83" i="29"/>
  <c r="G76" i="29"/>
  <c r="F74" i="29"/>
  <c r="F72" i="29"/>
  <c r="C70" i="29"/>
  <c r="B68" i="29"/>
  <c r="B66" i="29"/>
  <c r="I63" i="29"/>
  <c r="H61" i="29"/>
  <c r="I59" i="29"/>
  <c r="C58" i="29"/>
  <c r="G56" i="29"/>
  <c r="K54" i="29"/>
  <c r="E53" i="29"/>
  <c r="I51" i="29"/>
  <c r="C50" i="29"/>
  <c r="C49" i="29"/>
  <c r="K47" i="29"/>
  <c r="C47" i="29"/>
  <c r="E46" i="29"/>
  <c r="G45" i="29"/>
  <c r="I44" i="29"/>
  <c r="K43" i="29"/>
  <c r="C43" i="29"/>
  <c r="E42" i="29"/>
  <c r="G41" i="29"/>
  <c r="I40" i="29"/>
  <c r="K39" i="29"/>
  <c r="C39" i="29"/>
  <c r="E38" i="29"/>
  <c r="G37" i="29"/>
  <c r="I36" i="29"/>
  <c r="K35" i="29"/>
  <c r="C35" i="29"/>
  <c r="E34" i="29"/>
  <c r="G33" i="29"/>
  <c r="I32" i="29"/>
  <c r="K31" i="29"/>
  <c r="C31" i="29"/>
  <c r="E30" i="29"/>
  <c r="G29" i="29"/>
  <c r="I28" i="29"/>
  <c r="K27" i="29"/>
  <c r="C27" i="29"/>
  <c r="E26" i="29"/>
  <c r="G25" i="29"/>
  <c r="I24" i="29"/>
  <c r="K23" i="29"/>
  <c r="C23" i="29"/>
  <c r="E22" i="29"/>
  <c r="G21" i="29"/>
  <c r="I20" i="29"/>
  <c r="K19" i="29"/>
  <c r="C19" i="29"/>
  <c r="E18" i="29"/>
  <c r="G17" i="29"/>
  <c r="I15" i="29"/>
  <c r="K14" i="29"/>
  <c r="C14" i="29"/>
  <c r="E13" i="29"/>
  <c r="G12" i="29"/>
  <c r="I11" i="29"/>
  <c r="K10" i="29"/>
  <c r="C10" i="29"/>
  <c r="E9" i="29"/>
  <c r="G8" i="29"/>
  <c r="I7" i="29"/>
  <c r="K6" i="29"/>
  <c r="M29" i="29"/>
  <c r="H130" i="29"/>
  <c r="G125" i="29"/>
  <c r="D119" i="29"/>
  <c r="H113" i="29"/>
  <c r="D108" i="29"/>
  <c r="E102" i="29"/>
  <c r="K97" i="29"/>
  <c r="I95" i="29"/>
  <c r="F93" i="29"/>
  <c r="E91" i="29"/>
  <c r="E89" i="29"/>
  <c r="B87" i="29"/>
  <c r="K84" i="29"/>
  <c r="K82" i="29"/>
  <c r="G80" i="29"/>
  <c r="F78" i="29"/>
  <c r="F76" i="29"/>
  <c r="C74" i="29"/>
  <c r="B72" i="29"/>
  <c r="B70" i="29"/>
  <c r="I67" i="29"/>
  <c r="H65" i="29"/>
  <c r="H63" i="29"/>
  <c r="E61" i="29"/>
  <c r="H59" i="29"/>
  <c r="B58" i="29"/>
  <c r="F56" i="29"/>
  <c r="D53" i="29"/>
  <c r="H51" i="29"/>
  <c r="B50" i="29"/>
  <c r="B47" i="29"/>
  <c r="D46" i="29"/>
  <c r="F45" i="29"/>
  <c r="H44" i="29"/>
  <c r="B43" i="29"/>
  <c r="D42" i="29"/>
  <c r="F41" i="29"/>
  <c r="H40" i="29"/>
  <c r="B39" i="29"/>
  <c r="D38" i="29"/>
  <c r="F37" i="29"/>
  <c r="H36" i="29"/>
  <c r="B35" i="29"/>
  <c r="D34" i="29"/>
  <c r="F33" i="29"/>
  <c r="H32" i="29"/>
  <c r="B31" i="29"/>
  <c r="F29" i="29"/>
  <c r="H28" i="29"/>
  <c r="B27" i="29"/>
  <c r="D26" i="29"/>
  <c r="F25" i="29"/>
  <c r="H24" i="29"/>
  <c r="B23" i="29"/>
  <c r="D22" i="29"/>
  <c r="F21" i="29"/>
  <c r="H20" i="29"/>
  <c r="B19" i="29"/>
  <c r="D18" i="29"/>
  <c r="F17" i="29"/>
  <c r="H15" i="29"/>
  <c r="B14" i="29"/>
  <c r="D13" i="29"/>
  <c r="F12" i="29"/>
  <c r="H11" i="29"/>
  <c r="B10" i="29"/>
  <c r="D9" i="29"/>
  <c r="F8" i="29"/>
  <c r="H7" i="29"/>
  <c r="B6" i="29"/>
  <c r="D5" i="29"/>
  <c r="F4" i="29"/>
  <c r="H3" i="29"/>
  <c r="M68" i="29"/>
  <c r="M28" i="29"/>
  <c r="D124" i="29"/>
  <c r="C119" i="29"/>
  <c r="D107" i="29"/>
  <c r="G97" i="29"/>
  <c r="E95" i="29"/>
  <c r="E93" i="29"/>
  <c r="B91" i="29"/>
  <c r="K88" i="29"/>
  <c r="K86" i="29"/>
  <c r="H84" i="29"/>
  <c r="G82" i="29"/>
  <c r="F80" i="29"/>
  <c r="C78" i="29"/>
  <c r="B76" i="29"/>
  <c r="B74" i="29"/>
  <c r="I71" i="29"/>
  <c r="H69" i="29"/>
  <c r="H67" i="29"/>
  <c r="E65" i="29"/>
  <c r="D63" i="29"/>
  <c r="D61" i="29"/>
  <c r="G59" i="29"/>
  <c r="K57" i="29"/>
  <c r="E56" i="29"/>
  <c r="I54" i="29"/>
  <c r="C53" i="29"/>
  <c r="G51" i="29"/>
  <c r="K49" i="29"/>
  <c r="I48" i="29"/>
  <c r="I47" i="29"/>
  <c r="K46" i="29"/>
  <c r="C46" i="29"/>
  <c r="E45" i="29"/>
  <c r="G44" i="29"/>
  <c r="I43" i="29"/>
  <c r="K42" i="29"/>
  <c r="C42" i="29"/>
  <c r="E41" i="29"/>
  <c r="G40" i="29"/>
  <c r="I39" i="29"/>
  <c r="K38" i="29"/>
  <c r="C38" i="29"/>
  <c r="E37" i="29"/>
  <c r="G36" i="29"/>
  <c r="I35" i="29"/>
  <c r="K34" i="29"/>
  <c r="C34" i="29"/>
  <c r="E33" i="29"/>
  <c r="G32" i="29"/>
  <c r="I31" i="29"/>
  <c r="K30" i="29"/>
  <c r="C30" i="29"/>
  <c r="E29" i="29"/>
  <c r="G28" i="29"/>
  <c r="I27" i="29"/>
  <c r="K26" i="29"/>
  <c r="C26" i="29"/>
  <c r="E25" i="29"/>
  <c r="G24" i="29"/>
  <c r="I23" i="29"/>
  <c r="K22" i="29"/>
  <c r="C22" i="29"/>
  <c r="E21" i="29"/>
  <c r="G20" i="29"/>
  <c r="I19" i="29"/>
  <c r="K18" i="29"/>
  <c r="C18" i="29"/>
  <c r="E17" i="29"/>
  <c r="G15" i="29"/>
  <c r="I14" i="29"/>
  <c r="K13" i="29"/>
  <c r="C13" i="29"/>
  <c r="E12" i="29"/>
  <c r="G11" i="29"/>
  <c r="I10" i="29"/>
  <c r="K9" i="29"/>
  <c r="C9" i="29"/>
  <c r="E8" i="29"/>
  <c r="G7" i="29"/>
  <c r="I6" i="29"/>
  <c r="K5" i="29"/>
  <c r="C5" i="29"/>
  <c r="E4" i="29"/>
  <c r="G3" i="29"/>
  <c r="H129" i="29"/>
  <c r="F123" i="29"/>
  <c r="I112" i="29"/>
  <c r="F106" i="29"/>
  <c r="F97" i="29"/>
  <c r="B95" i="29"/>
  <c r="K92" i="29"/>
  <c r="K90" i="29"/>
  <c r="H88" i="29"/>
  <c r="G86" i="29"/>
  <c r="G84" i="29"/>
  <c r="D82" i="29"/>
  <c r="B80" i="29"/>
  <c r="B78" i="29"/>
  <c r="I75" i="29"/>
  <c r="H73" i="29"/>
  <c r="H71" i="29"/>
  <c r="E69" i="29"/>
  <c r="D67" i="29"/>
  <c r="D65" i="29"/>
  <c r="K62" i="29"/>
  <c r="D59" i="29"/>
  <c r="H57" i="29"/>
  <c r="B56" i="29"/>
  <c r="F54" i="29"/>
  <c r="D51" i="29"/>
  <c r="H49" i="29"/>
  <c r="H48" i="29"/>
  <c r="H47" i="29"/>
  <c r="B46" i="29"/>
  <c r="D45" i="29"/>
  <c r="F44" i="29"/>
  <c r="H43" i="29"/>
  <c r="B42" i="29"/>
  <c r="D41" i="29"/>
  <c r="F40" i="29"/>
  <c r="H39" i="29"/>
  <c r="B38" i="29"/>
  <c r="D37" i="29"/>
  <c r="F36" i="29"/>
  <c r="H35" i="29"/>
  <c r="B34" i="29"/>
  <c r="D33" i="29"/>
  <c r="F32" i="29"/>
  <c r="H31" i="29"/>
  <c r="B30" i="29"/>
  <c r="D29" i="29"/>
  <c r="F28" i="29"/>
  <c r="H27" i="29"/>
  <c r="B26" i="29"/>
  <c r="D25" i="29"/>
  <c r="F24" i="29"/>
  <c r="H23" i="29"/>
  <c r="B22" i="29"/>
  <c r="D21" i="29"/>
  <c r="F20" i="29"/>
  <c r="H19" i="29"/>
  <c r="B18" i="29"/>
  <c r="D17" i="29"/>
  <c r="F15" i="29"/>
  <c r="H14" i="29"/>
  <c r="B13" i="29"/>
  <c r="D12" i="29"/>
  <c r="F11" i="29"/>
  <c r="H10" i="29"/>
  <c r="B9" i="29"/>
  <c r="D8" i="29"/>
  <c r="F7" i="29"/>
  <c r="H6" i="29"/>
  <c r="B5" i="29"/>
  <c r="D4" i="29"/>
  <c r="K94" i="29"/>
  <c r="H77" i="29"/>
  <c r="G60" i="29"/>
  <c r="B54" i="29"/>
  <c r="F48" i="29"/>
  <c r="B45" i="29"/>
  <c r="H38" i="29"/>
  <c r="F35" i="29"/>
  <c r="D32" i="29"/>
  <c r="B29" i="29"/>
  <c r="H22" i="29"/>
  <c r="F19" i="29"/>
  <c r="D15" i="29"/>
  <c r="I12" i="29"/>
  <c r="F10" i="29"/>
  <c r="C8" i="29"/>
  <c r="E6" i="29"/>
  <c r="I4" i="29"/>
  <c r="D3" i="29"/>
  <c r="F2" i="29"/>
  <c r="C54" i="29"/>
  <c r="C45" i="29"/>
  <c r="I128" i="29"/>
  <c r="H92" i="29"/>
  <c r="H75" i="29"/>
  <c r="K58" i="29"/>
  <c r="G52" i="29"/>
  <c r="G47" i="29"/>
  <c r="E44" i="29"/>
  <c r="C41" i="29"/>
  <c r="K37" i="29"/>
  <c r="I34" i="29"/>
  <c r="G31" i="29"/>
  <c r="E28" i="29"/>
  <c r="C25" i="29"/>
  <c r="K21" i="29"/>
  <c r="I18" i="29"/>
  <c r="G14" i="29"/>
  <c r="C12" i="29"/>
  <c r="E10" i="29"/>
  <c r="B8" i="29"/>
  <c r="C6" i="29"/>
  <c r="G4" i="29"/>
  <c r="C3" i="29"/>
  <c r="E2" i="29"/>
  <c r="G48" i="29"/>
  <c r="I38" i="29"/>
  <c r="G19" i="29"/>
  <c r="I8" i="29"/>
  <c r="D123" i="29"/>
  <c r="G90" i="29"/>
  <c r="E73" i="29"/>
  <c r="F52" i="29"/>
  <c r="F47" i="29"/>
  <c r="D44" i="29"/>
  <c r="B41" i="29"/>
  <c r="H34" i="29"/>
  <c r="F31" i="29"/>
  <c r="B25" i="29"/>
  <c r="H18" i="29"/>
  <c r="F14" i="29"/>
  <c r="B12" i="29"/>
  <c r="I9" i="29"/>
  <c r="K7" i="29"/>
  <c r="I5" i="29"/>
  <c r="C4" i="29"/>
  <c r="B3" i="29"/>
  <c r="D2" i="29"/>
  <c r="AK10" i="1"/>
  <c r="B97" i="29"/>
  <c r="K25" i="29"/>
  <c r="G2" i="29"/>
  <c r="B117" i="29"/>
  <c r="G88" i="29"/>
  <c r="D71" i="29"/>
  <c r="E57" i="29"/>
  <c r="K50" i="29"/>
  <c r="I46" i="29"/>
  <c r="G43" i="29"/>
  <c r="E40" i="29"/>
  <c r="C37" i="29"/>
  <c r="K33" i="29"/>
  <c r="I30" i="29"/>
  <c r="G27" i="29"/>
  <c r="E24" i="29"/>
  <c r="C21" i="29"/>
  <c r="K17" i="29"/>
  <c r="I13" i="29"/>
  <c r="K11" i="29"/>
  <c r="H9" i="29"/>
  <c r="E7" i="29"/>
  <c r="H5" i="29"/>
  <c r="B4" i="29"/>
  <c r="K2" i="29"/>
  <c r="C2" i="29"/>
  <c r="AJ10" i="1"/>
  <c r="AL10" i="1" s="1"/>
  <c r="K41" i="29"/>
  <c r="I22" i="29"/>
  <c r="F6" i="29"/>
  <c r="F111" i="29"/>
  <c r="D86" i="29"/>
  <c r="D69" i="29"/>
  <c r="D57" i="29"/>
  <c r="H46" i="29"/>
  <c r="F43" i="29"/>
  <c r="D40" i="29"/>
  <c r="B37" i="29"/>
  <c r="H30" i="29"/>
  <c r="F27" i="29"/>
  <c r="D24" i="29"/>
  <c r="B21" i="29"/>
  <c r="H13" i="29"/>
  <c r="E11" i="29"/>
  <c r="G9" i="29"/>
  <c r="D7" i="29"/>
  <c r="G5" i="29"/>
  <c r="K3" i="29"/>
  <c r="B2" i="29"/>
  <c r="AI10" i="1"/>
  <c r="I79" i="29"/>
  <c r="E32" i="29"/>
  <c r="G10" i="29"/>
  <c r="E3" i="29"/>
  <c r="E106" i="29"/>
  <c r="C84" i="29"/>
  <c r="K66" i="29"/>
  <c r="I55" i="29"/>
  <c r="G49" i="29"/>
  <c r="K45" i="29"/>
  <c r="I42" i="29"/>
  <c r="G39" i="29"/>
  <c r="E36" i="29"/>
  <c r="C33" i="29"/>
  <c r="K29" i="29"/>
  <c r="I26" i="29"/>
  <c r="G23" i="29"/>
  <c r="E20" i="29"/>
  <c r="C17" i="29"/>
  <c r="G13" i="29"/>
  <c r="D11" i="29"/>
  <c r="K8" i="29"/>
  <c r="C7" i="29"/>
  <c r="E5" i="29"/>
  <c r="I3" i="29"/>
  <c r="I2" i="29"/>
  <c r="AH10" i="1"/>
  <c r="M52" i="29"/>
  <c r="G35" i="29"/>
  <c r="E15" i="29"/>
  <c r="B100" i="29"/>
  <c r="C82" i="29"/>
  <c r="H55" i="29"/>
  <c r="F49" i="29"/>
  <c r="H42" i="29"/>
  <c r="F39" i="29"/>
  <c r="D36" i="29"/>
  <c r="B33" i="29"/>
  <c r="H26" i="29"/>
  <c r="F23" i="29"/>
  <c r="D20" i="29"/>
  <c r="B17" i="29"/>
  <c r="K12" i="29"/>
  <c r="C11" i="29"/>
  <c r="G6" i="29"/>
  <c r="K4" i="29"/>
  <c r="F3" i="29"/>
  <c r="H2" i="29"/>
  <c r="C29" i="29"/>
  <c r="S81" i="29" l="1"/>
  <c r="R115" i="29"/>
  <c r="S77" i="29"/>
  <c r="R110" i="29"/>
  <c r="S59" i="29"/>
  <c r="S82" i="29"/>
  <c r="S119" i="29"/>
  <c r="S51" i="29"/>
  <c r="S115" i="29"/>
  <c r="R50" i="29"/>
  <c r="S107" i="29"/>
  <c r="S94" i="29"/>
  <c r="S116" i="29"/>
  <c r="R74" i="29"/>
  <c r="R8" i="29"/>
  <c r="R41" i="29"/>
  <c r="R103" i="29"/>
  <c r="R36" i="29"/>
  <c r="S50" i="29"/>
  <c r="S58" i="29"/>
  <c r="S123" i="29"/>
  <c r="Q80" i="31" a="1"/>
  <c r="Q80" i="31" s="1"/>
  <c r="B12" i="24" s="1"/>
  <c r="Q8" i="31" a="1"/>
  <c r="Q8" i="31" s="1"/>
  <c r="B13" i="24" s="1"/>
  <c r="Q44" i="31" a="1"/>
  <c r="Q44" i="31" s="1"/>
  <c r="Q56" i="31" a="1"/>
  <c r="Q56" i="31" s="1"/>
  <c r="B10" i="24" s="1"/>
  <c r="Q20" i="31" a="1"/>
  <c r="Q20" i="31" s="1"/>
  <c r="B16" i="24" s="1"/>
  <c r="Q68" i="31" a="1"/>
  <c r="Q68" i="31" s="1"/>
  <c r="B8" i="24" s="1"/>
  <c r="Q38" i="31" a="1"/>
  <c r="Q38" i="31" s="1"/>
  <c r="B11" i="24" s="1"/>
  <c r="Q2" i="31" a="1"/>
  <c r="Q2" i="31" s="1"/>
  <c r="B14" i="24" s="1"/>
  <c r="Q32" i="31" a="1"/>
  <c r="Q32" i="31" s="1"/>
  <c r="B6" i="24" s="1"/>
  <c r="Q50" i="31" a="1"/>
  <c r="Q50" i="31" s="1"/>
  <c r="B5" i="24" s="1"/>
  <c r="Q14" i="31" a="1"/>
  <c r="Q14" i="31" s="1"/>
  <c r="B4" i="24" s="1"/>
  <c r="Q74" i="31" a="1"/>
  <c r="Q74" i="31" s="1"/>
  <c r="B15" i="24" s="1"/>
  <c r="Q62" i="31" a="1"/>
  <c r="Q62" i="31" s="1"/>
  <c r="Q26" i="31" a="1"/>
  <c r="Q26" i="31" s="1"/>
  <c r="B17" i="24" s="1"/>
  <c r="S55" i="29"/>
  <c r="S98" i="29"/>
  <c r="R107" i="29"/>
  <c r="S36" i="29"/>
  <c r="S11" i="29"/>
  <c r="S2" i="29"/>
  <c r="S9" i="29"/>
  <c r="S26" i="29"/>
  <c r="S42" i="29"/>
  <c r="S53" i="29"/>
  <c r="S23" i="29"/>
  <c r="R81" i="29"/>
  <c r="S104" i="29"/>
  <c r="S96" i="29"/>
  <c r="S64" i="29"/>
  <c r="R108" i="29"/>
  <c r="R124" i="29"/>
  <c r="S99" i="29"/>
  <c r="S32" i="29"/>
  <c r="S63" i="29"/>
  <c r="S4" i="29"/>
  <c r="S29" i="29"/>
  <c r="S37" i="29"/>
  <c r="S74" i="29"/>
  <c r="R118" i="29"/>
  <c r="R14" i="29"/>
  <c r="R69" i="29"/>
  <c r="R77" i="29"/>
  <c r="R106" i="29"/>
  <c r="S128" i="29"/>
  <c r="S124" i="29"/>
  <c r="R46" i="29"/>
  <c r="R58" i="29"/>
  <c r="S79" i="29"/>
  <c r="R95" i="29"/>
  <c r="R63" i="29"/>
  <c r="R71" i="29"/>
  <c r="R79" i="29"/>
  <c r="S127" i="29"/>
  <c r="S31" i="29"/>
  <c r="R39" i="29"/>
  <c r="S7" i="29"/>
  <c r="S71" i="29"/>
  <c r="S25" i="29"/>
  <c r="S67" i="29"/>
  <c r="R56" i="29"/>
  <c r="S78" i="29"/>
  <c r="S101" i="29"/>
  <c r="S109" i="29"/>
  <c r="S125" i="29"/>
  <c r="R24" i="29"/>
  <c r="S39" i="29"/>
  <c r="R61" i="29"/>
  <c r="S40" i="29"/>
  <c r="S28" i="29"/>
  <c r="S3" i="29"/>
  <c r="R123" i="29"/>
  <c r="S49" i="29"/>
  <c r="R85" i="29"/>
  <c r="S100" i="29"/>
  <c r="R119" i="29"/>
  <c r="S89" i="29"/>
  <c r="R114" i="29"/>
  <c r="R101" i="29"/>
  <c r="R109" i="29"/>
  <c r="R117" i="29"/>
  <c r="S16" i="29"/>
  <c r="R16" i="29"/>
  <c r="R111" i="29"/>
  <c r="R15" i="29"/>
  <c r="S65" i="29"/>
  <c r="R54" i="29"/>
  <c r="R21" i="29"/>
  <c r="R93" i="29"/>
  <c r="R89" i="29"/>
  <c r="R18" i="29"/>
  <c r="R26" i="29"/>
  <c r="R102" i="29"/>
  <c r="R83" i="29"/>
  <c r="R91" i="29"/>
  <c r="R75" i="29"/>
  <c r="S34" i="29"/>
  <c r="R116" i="29"/>
  <c r="S20" i="29"/>
  <c r="R11" i="29"/>
  <c r="R20" i="29"/>
  <c r="R44" i="29"/>
  <c r="R80" i="29"/>
  <c r="S13" i="29"/>
  <c r="S30" i="29"/>
  <c r="S38" i="29"/>
  <c r="S46" i="29"/>
  <c r="R78" i="29"/>
  <c r="S19" i="29"/>
  <c r="S27" i="29"/>
  <c r="S35" i="29"/>
  <c r="R68" i="29"/>
  <c r="R126" i="29"/>
  <c r="R57" i="29"/>
  <c r="R65" i="29"/>
  <c r="R73" i="29"/>
  <c r="S84" i="29"/>
  <c r="S120" i="29"/>
  <c r="S76" i="29"/>
  <c r="R112" i="29"/>
  <c r="R120" i="29"/>
  <c r="R128" i="29"/>
  <c r="R72" i="29"/>
  <c r="R70" i="29"/>
  <c r="S103" i="29"/>
  <c r="R122" i="29"/>
  <c r="S129" i="29"/>
  <c r="R64" i="29"/>
  <c r="R76" i="29"/>
  <c r="R34" i="29"/>
  <c r="R66" i="29"/>
  <c r="S90" i="29"/>
  <c r="S22" i="29"/>
  <c r="S92" i="29"/>
  <c r="R104" i="29"/>
  <c r="S12" i="29"/>
  <c r="S45" i="29"/>
  <c r="S66" i="29"/>
  <c r="S24" i="29"/>
  <c r="S15" i="29"/>
  <c r="R48" i="29"/>
  <c r="R32" i="29"/>
  <c r="S14" i="29"/>
  <c r="S47" i="29"/>
  <c r="R53" i="29"/>
  <c r="S72" i="29"/>
  <c r="R6" i="29"/>
  <c r="R2" i="29"/>
  <c r="R19" i="29"/>
  <c r="S17" i="29"/>
  <c r="S33" i="29"/>
  <c r="S54" i="29"/>
  <c r="S70" i="29"/>
  <c r="S112" i="29"/>
  <c r="S117" i="29"/>
  <c r="R49" i="29"/>
  <c r="R43" i="29"/>
  <c r="R31" i="29"/>
  <c r="S61" i="29"/>
  <c r="R4" i="29"/>
  <c r="R12" i="29"/>
  <c r="R29" i="29"/>
  <c r="R37" i="29"/>
  <c r="R45" i="29"/>
  <c r="R9" i="29"/>
  <c r="R42" i="29"/>
  <c r="R82" i="29"/>
  <c r="R90" i="29"/>
  <c r="R51" i="29"/>
  <c r="R59" i="29"/>
  <c r="R67" i="29"/>
  <c r="S102" i="29"/>
  <c r="S110" i="29"/>
  <c r="S118" i="29"/>
  <c r="S126" i="29"/>
  <c r="R28" i="29"/>
  <c r="S5" i="29"/>
  <c r="S10" i="29"/>
  <c r="S43" i="29"/>
  <c r="R127" i="29"/>
  <c r="S73" i="29"/>
  <c r="S83" i="29"/>
  <c r="S91" i="29"/>
  <c r="S52" i="29"/>
  <c r="S60" i="29"/>
  <c r="S68" i="29"/>
  <c r="S75" i="29"/>
  <c r="S97" i="29"/>
  <c r="R84" i="29"/>
  <c r="R92" i="29"/>
  <c r="S105" i="29"/>
  <c r="S113" i="29"/>
  <c r="S121" i="29"/>
  <c r="S57" i="29"/>
  <c r="R35" i="29"/>
  <c r="S21" i="29"/>
  <c r="S69" i="29"/>
  <c r="S44" i="29"/>
  <c r="R10" i="29"/>
  <c r="R98" i="29"/>
  <c r="S85" i="29"/>
  <c r="S93" i="29"/>
  <c r="R105" i="29"/>
  <c r="R113" i="29"/>
  <c r="R121" i="29"/>
  <c r="R129" i="29"/>
  <c r="R125" i="29"/>
  <c r="R23" i="29"/>
  <c r="R3" i="29"/>
  <c r="R27" i="29"/>
  <c r="S86" i="29"/>
  <c r="R47" i="29"/>
  <c r="R97" i="29"/>
  <c r="R17" i="29"/>
  <c r="R25" i="29"/>
  <c r="R33" i="29"/>
  <c r="S108" i="29"/>
  <c r="R5" i="29"/>
  <c r="R13" i="29"/>
  <c r="R22" i="29"/>
  <c r="R30" i="29"/>
  <c r="R38" i="29"/>
  <c r="R86" i="29"/>
  <c r="R94" i="29"/>
  <c r="S111" i="29"/>
  <c r="R130" i="29"/>
  <c r="R87" i="29"/>
  <c r="R55" i="29"/>
  <c r="R99" i="29"/>
  <c r="S106" i="29"/>
  <c r="S114" i="29"/>
  <c r="S122" i="29"/>
  <c r="S130" i="29"/>
  <c r="R52" i="29"/>
  <c r="R7" i="29"/>
  <c r="R40" i="29"/>
  <c r="S18" i="29"/>
  <c r="S6" i="29"/>
  <c r="R60" i="29"/>
  <c r="S87" i="29"/>
  <c r="S95" i="29"/>
  <c r="S88" i="29"/>
  <c r="S48" i="29"/>
  <c r="S56" i="29"/>
  <c r="S80" i="29"/>
  <c r="R100" i="29"/>
  <c r="S8" i="29"/>
  <c r="S41" i="29"/>
  <c r="R62" i="29"/>
  <c r="S62" i="29"/>
  <c r="R88" i="29"/>
  <c r="R96" i="29"/>
  <c r="G45" i="31"/>
  <c r="D45" i="31"/>
  <c r="F45" i="31"/>
  <c r="D20" i="31"/>
  <c r="G21" i="31"/>
  <c r="D21" i="31"/>
  <c r="F21" i="31"/>
  <c r="F47" i="31"/>
  <c r="D47" i="31"/>
  <c r="G47" i="31"/>
  <c r="F75" i="31"/>
  <c r="D75" i="31"/>
  <c r="G75" i="31"/>
  <c r="D50" i="31"/>
  <c r="F63" i="31"/>
  <c r="D63" i="31"/>
  <c r="G63" i="31"/>
  <c r="D52" i="31"/>
  <c r="G52" i="31"/>
  <c r="F52" i="31"/>
  <c r="F67" i="31"/>
  <c r="D67" i="31"/>
  <c r="G67" i="31"/>
  <c r="D70" i="31"/>
  <c r="G22" i="31"/>
  <c r="D22" i="31"/>
  <c r="G77" i="31"/>
  <c r="D77" i="31"/>
  <c r="F77" i="31"/>
  <c r="G6" i="31"/>
  <c r="F6" i="31"/>
  <c r="D6" i="31"/>
  <c r="F7" i="31"/>
  <c r="D7" i="31"/>
  <c r="G7" i="31"/>
  <c r="D23" i="31"/>
  <c r="G23" i="31"/>
  <c r="G2" i="31"/>
  <c r="D2" i="31"/>
  <c r="F2" i="31"/>
  <c r="G61" i="31"/>
  <c r="D61" i="31"/>
  <c r="F61" i="31"/>
  <c r="G9" i="31"/>
  <c r="D9" i="31"/>
  <c r="F39" i="31"/>
  <c r="D39" i="31"/>
  <c r="G39" i="31"/>
  <c r="G49" i="31"/>
  <c r="F49" i="31"/>
  <c r="D49" i="31"/>
  <c r="D8" i="31"/>
  <c r="G8" i="31"/>
  <c r="F8" i="31"/>
  <c r="D44" i="31"/>
  <c r="G44" i="31"/>
  <c r="F44" i="31"/>
  <c r="F55" i="31"/>
  <c r="D55" i="31"/>
  <c r="G55" i="31"/>
  <c r="D32" i="31"/>
  <c r="G38" i="31"/>
  <c r="F38" i="31"/>
  <c r="D38" i="31"/>
  <c r="G25" i="31"/>
  <c r="F25" i="31"/>
  <c r="D25" i="31"/>
  <c r="G10" i="31"/>
  <c r="D10" i="31"/>
  <c r="F10" i="31"/>
  <c r="F31" i="31"/>
  <c r="G31" i="31"/>
  <c r="D31" i="31"/>
  <c r="F3" i="31"/>
  <c r="D3" i="31"/>
  <c r="G3" i="31"/>
  <c r="D4" i="31"/>
  <c r="F4" i="31"/>
  <c r="G4" i="31"/>
  <c r="G5" i="31"/>
  <c r="D5" i="31"/>
  <c r="F5" i="31"/>
  <c r="F15" i="31"/>
  <c r="G15" i="31"/>
  <c r="D15" i="31"/>
  <c r="D33" i="31"/>
  <c r="F51" i="31"/>
  <c r="D51" i="31"/>
  <c r="G51" i="31"/>
  <c r="G18" i="31"/>
  <c r="D18" i="31"/>
  <c r="F18" i="31"/>
  <c r="F28" i="31"/>
  <c r="G28" i="31"/>
  <c r="F71" i="31"/>
  <c r="D71" i="31"/>
  <c r="G71" i="31"/>
  <c r="G54" i="31"/>
  <c r="F54" i="31"/>
  <c r="D54" i="31"/>
  <c r="G82" i="31"/>
  <c r="F82" i="31"/>
  <c r="D82" i="31"/>
  <c r="G14" i="31"/>
  <c r="D14" i="31"/>
  <c r="F14" i="31"/>
  <c r="F83" i="31"/>
  <c r="D83" i="31"/>
  <c r="G83" i="31"/>
  <c r="D34" i="31"/>
  <c r="F19" i="31"/>
  <c r="D19" i="31"/>
  <c r="G19" i="31"/>
  <c r="G37" i="31"/>
  <c r="D37" i="31"/>
  <c r="F37" i="31"/>
  <c r="G74" i="31"/>
  <c r="F74" i="31"/>
  <c r="D74" i="31"/>
  <c r="G30" i="31"/>
  <c r="F30" i="31"/>
  <c r="G81" i="31"/>
  <c r="F81" i="31"/>
  <c r="D81" i="31"/>
  <c r="D64" i="31"/>
  <c r="G64" i="31"/>
  <c r="F64" i="31"/>
  <c r="F11" i="31"/>
  <c r="D11" i="31"/>
  <c r="G11" i="31"/>
  <c r="G41" i="31"/>
  <c r="F41" i="31"/>
  <c r="D41" i="31"/>
  <c r="G46" i="31"/>
  <c r="D46" i="31"/>
  <c r="F46" i="31"/>
  <c r="G53" i="31"/>
  <c r="D53" i="31"/>
  <c r="F53" i="31"/>
  <c r="G66" i="31"/>
  <c r="D66" i="31"/>
  <c r="F66" i="31"/>
  <c r="G78" i="31"/>
  <c r="D78" i="31"/>
  <c r="F78" i="31"/>
  <c r="G73" i="31"/>
  <c r="F73" i="31"/>
  <c r="D73" i="31"/>
  <c r="D24" i="31"/>
  <c r="D16" i="31"/>
  <c r="F16" i="31"/>
  <c r="G16" i="31"/>
  <c r="G26" i="31"/>
  <c r="D26" i="31"/>
  <c r="F26" i="31"/>
  <c r="F27" i="31"/>
  <c r="D27" i="31"/>
  <c r="G27" i="31"/>
  <c r="D12" i="31"/>
  <c r="G12" i="31"/>
  <c r="F12" i="31"/>
  <c r="G42" i="31"/>
  <c r="F42" i="31"/>
  <c r="D42" i="31"/>
  <c r="D56" i="31"/>
  <c r="G56" i="31"/>
  <c r="F56" i="31"/>
  <c r="D60" i="31"/>
  <c r="G60" i="31"/>
  <c r="F60" i="31"/>
  <c r="G57" i="31"/>
  <c r="F57" i="31"/>
  <c r="D57" i="31"/>
  <c r="D72" i="31"/>
  <c r="G72" i="31"/>
  <c r="F72" i="31"/>
  <c r="G62" i="31"/>
  <c r="F62" i="31"/>
  <c r="D62" i="31"/>
  <c r="D69" i="31"/>
  <c r="F59" i="31"/>
  <c r="D59" i="31"/>
  <c r="G59" i="31"/>
  <c r="D80" i="31"/>
  <c r="G80" i="31"/>
  <c r="F80" i="31"/>
  <c r="D84" i="31"/>
  <c r="G84" i="31"/>
  <c r="F84" i="31"/>
  <c r="G13" i="31"/>
  <c r="D13" i="31"/>
  <c r="F13" i="31"/>
  <c r="F43" i="31"/>
  <c r="D43" i="31"/>
  <c r="G43" i="31"/>
  <c r="D40" i="31"/>
  <c r="G40" i="31"/>
  <c r="F40" i="31"/>
  <c r="G17" i="31"/>
  <c r="F17" i="31"/>
  <c r="D17" i="31"/>
  <c r="D35" i="31"/>
  <c r="D36" i="31"/>
  <c r="G36" i="31"/>
  <c r="F36" i="31"/>
  <c r="D68" i="31"/>
  <c r="G68" i="31"/>
  <c r="F68" i="31"/>
  <c r="G29" i="31"/>
  <c r="D29" i="31"/>
  <c r="F29" i="31"/>
  <c r="D48" i="31"/>
  <c r="G48" i="31"/>
  <c r="F48" i="31"/>
  <c r="G65" i="31"/>
  <c r="F65" i="31"/>
  <c r="D65" i="31"/>
  <c r="G58" i="31"/>
  <c r="D58" i="31"/>
  <c r="F58" i="31"/>
  <c r="D76" i="31"/>
  <c r="G76" i="31"/>
  <c r="F76" i="31"/>
  <c r="F79" i="31"/>
  <c r="D79" i="31"/>
  <c r="G79" i="31"/>
  <c r="D85" i="31"/>
  <c r="I3" i="26"/>
  <c r="B18" i="24"/>
  <c r="S176" i="1"/>
  <c r="S177" i="1"/>
  <c r="S178" i="1"/>
  <c r="S179" i="1"/>
  <c r="S180" i="1"/>
  <c r="S181" i="1"/>
  <c r="S182" i="1"/>
  <c r="S183" i="1"/>
  <c r="S184" i="1"/>
  <c r="S185" i="1"/>
  <c r="S186" i="1"/>
  <c r="S187" i="1"/>
  <c r="S188" i="1"/>
  <c r="S189" i="1"/>
  <c r="S190" i="1"/>
  <c r="S191" i="1"/>
  <c r="S192" i="1"/>
  <c r="S193" i="1"/>
  <c r="S194" i="1"/>
  <c r="B7" i="24" l="1"/>
  <c r="H26" i="31"/>
  <c r="J26" i="31" s="1"/>
  <c r="H44" i="31"/>
  <c r="J44" i="31" s="1"/>
  <c r="I26" i="31"/>
  <c r="H38" i="31"/>
  <c r="J38" i="31" s="1"/>
  <c r="I62" i="31"/>
  <c r="I38" i="31"/>
  <c r="I44" i="31"/>
  <c r="I14" i="31"/>
  <c r="H56" i="31"/>
  <c r="J56" i="31" s="1"/>
  <c r="I74" i="31"/>
  <c r="H68" i="31"/>
  <c r="J68" i="31" s="1"/>
  <c r="H62" i="31"/>
  <c r="J62" i="31" s="1"/>
  <c r="I56" i="31"/>
  <c r="H8" i="31"/>
  <c r="J8" i="31" s="1"/>
  <c r="H2" i="31"/>
  <c r="J2" i="31" s="1"/>
  <c r="H20" i="31"/>
  <c r="J20" i="31" s="1"/>
  <c r="H32" i="31"/>
  <c r="J32" i="31" s="1"/>
  <c r="H50" i="31"/>
  <c r="J50" i="31" s="1"/>
  <c r="H14" i="31"/>
  <c r="J14" i="31" s="1"/>
  <c r="H80" i="31"/>
  <c r="J80" i="31" s="1"/>
  <c r="H74" i="31"/>
  <c r="J74" i="31" s="1"/>
  <c r="L56" i="31"/>
  <c r="O10" i="24" s="1"/>
  <c r="K56" i="31"/>
  <c r="L26" i="31"/>
  <c r="O17" i="24" s="1"/>
  <c r="K26" i="31"/>
  <c r="L80" i="31"/>
  <c r="O12" i="24" s="1"/>
  <c r="K80" i="31"/>
  <c r="K50" i="31"/>
  <c r="L50" i="31"/>
  <c r="O5" i="24" s="1"/>
  <c r="L14" i="31"/>
  <c r="O4" i="24" s="1"/>
  <c r="K14" i="31"/>
  <c r="L2" i="31"/>
  <c r="O14" i="24" s="1"/>
  <c r="K2" i="31"/>
  <c r="K38" i="31"/>
  <c r="L38" i="31"/>
  <c r="O11" i="24" s="1"/>
  <c r="K62" i="31"/>
  <c r="L62" i="31"/>
  <c r="L74" i="31"/>
  <c r="O15" i="24" s="1"/>
  <c r="K74" i="31"/>
  <c r="L44" i="31"/>
  <c r="K44" i="31"/>
  <c r="P80" i="31" a="1"/>
  <c r="P80" i="31" s="1"/>
  <c r="P8" i="31" a="1"/>
  <c r="P8" i="31" s="1"/>
  <c r="P56" i="31" a="1"/>
  <c r="P56" i="31" s="1"/>
  <c r="P26" i="31" a="1"/>
  <c r="P26" i="31" s="1"/>
  <c r="P20" i="31" a="1"/>
  <c r="P20" i="31" s="1"/>
  <c r="P74" i="31" a="1"/>
  <c r="P74" i="31" s="1"/>
  <c r="P38" i="31" a="1"/>
  <c r="P38" i="31" s="1"/>
  <c r="P2" i="31" a="1"/>
  <c r="P2" i="31" s="1"/>
  <c r="P68" i="31" a="1"/>
  <c r="P68" i="31" s="1"/>
  <c r="P50" i="31" a="1"/>
  <c r="P50" i="31" s="1"/>
  <c r="P14" i="31" a="1"/>
  <c r="P14" i="31" s="1"/>
  <c r="P62" i="31" a="1"/>
  <c r="P62" i="31" s="1"/>
  <c r="P32" i="31" a="1"/>
  <c r="P32" i="31" s="1"/>
  <c r="P44" i="31" a="1"/>
  <c r="P44" i="31" s="1"/>
  <c r="E84" i="31"/>
  <c r="O26" i="31" a="1"/>
  <c r="O26" i="31" s="1"/>
  <c r="O2" i="31" a="1"/>
  <c r="O2" i="31" s="1"/>
  <c r="O14" i="31" a="1"/>
  <c r="O14" i="31" s="1"/>
  <c r="O8" i="31" a="1"/>
  <c r="O8" i="31" s="1"/>
  <c r="O38" i="31" a="1"/>
  <c r="O38" i="31" s="1"/>
  <c r="O44" i="31" a="1"/>
  <c r="O44" i="31" s="1"/>
  <c r="O80" i="31" a="1"/>
  <c r="O80" i="31" s="1"/>
  <c r="O20" i="31" a="1"/>
  <c r="O20" i="31" s="1"/>
  <c r="O32" i="31" a="1"/>
  <c r="O32" i="31" s="1"/>
  <c r="O50" i="31" a="1"/>
  <c r="O50" i="31" s="1"/>
  <c r="O74" i="31" a="1"/>
  <c r="O74" i="31" s="1"/>
  <c r="O56" i="31" a="1"/>
  <c r="O56" i="31" s="1"/>
  <c r="O62" i="31" a="1"/>
  <c r="O62" i="31" s="1"/>
  <c r="O68" i="31" a="1"/>
  <c r="O68" i="31" s="1"/>
  <c r="E12" i="31"/>
  <c r="E48" i="31"/>
  <c r="E62" i="31"/>
  <c r="E56" i="31"/>
  <c r="E40" i="31"/>
  <c r="E24" i="31"/>
  <c r="E79" i="31"/>
  <c r="E68" i="31"/>
  <c r="E16" i="31"/>
  <c r="E37" i="31"/>
  <c r="E31" i="31"/>
  <c r="E55" i="31"/>
  <c r="E2" i="31"/>
  <c r="E6" i="31"/>
  <c r="E21" i="31"/>
  <c r="E5" i="31"/>
  <c r="E58" i="31"/>
  <c r="E27" i="31"/>
  <c r="E46" i="31"/>
  <c r="E30" i="31"/>
  <c r="E83" i="31"/>
  <c r="E33" i="31"/>
  <c r="E38" i="31"/>
  <c r="E9" i="31"/>
  <c r="E78" i="31"/>
  <c r="E85" i="31"/>
  <c r="E80" i="31"/>
  <c r="E36" i="31"/>
  <c r="E13" i="31"/>
  <c r="E42" i="31"/>
  <c r="E54" i="31"/>
  <c r="E28" i="31"/>
  <c r="J7" i="24"/>
  <c r="E70" i="31"/>
  <c r="E52" i="31"/>
  <c r="E75" i="31"/>
  <c r="E29" i="31"/>
  <c r="E59" i="31"/>
  <c r="E66" i="31"/>
  <c r="E41" i="31"/>
  <c r="E64" i="31"/>
  <c r="E19" i="31"/>
  <c r="K7" i="24"/>
  <c r="E49" i="31"/>
  <c r="E23" i="31"/>
  <c r="E35" i="31"/>
  <c r="E26" i="31"/>
  <c r="E74" i="31"/>
  <c r="E18" i="31"/>
  <c r="E4" i="31"/>
  <c r="E10" i="31"/>
  <c r="E44" i="31"/>
  <c r="E77" i="31"/>
  <c r="E63" i="31"/>
  <c r="E20" i="31"/>
  <c r="E65" i="31"/>
  <c r="E73" i="31"/>
  <c r="E14" i="31"/>
  <c r="E15" i="31"/>
  <c r="E60" i="31"/>
  <c r="E81" i="31"/>
  <c r="E34" i="31"/>
  <c r="E61" i="31"/>
  <c r="E47" i="31"/>
  <c r="E69" i="31"/>
  <c r="E72" i="31"/>
  <c r="E53" i="31"/>
  <c r="E71" i="31"/>
  <c r="E3" i="31"/>
  <c r="E25" i="31"/>
  <c r="E32" i="31"/>
  <c r="E7" i="31"/>
  <c r="E67" i="31"/>
  <c r="E45" i="31"/>
  <c r="E17" i="31"/>
  <c r="E76" i="31"/>
  <c r="E43" i="31"/>
  <c r="E57" i="31"/>
  <c r="E11" i="31"/>
  <c r="E82" i="31"/>
  <c r="E51" i="31"/>
  <c r="E8" i="31"/>
  <c r="E39" i="31"/>
  <c r="I2" i="31"/>
  <c r="E22" i="31"/>
  <c r="E50" i="31"/>
  <c r="D45" i="27"/>
  <c r="E45" i="27"/>
  <c r="F45" i="27"/>
  <c r="G45" i="27"/>
  <c r="H45" i="27"/>
  <c r="I45" i="27"/>
  <c r="C45" i="27"/>
  <c r="D11" i="24" l="1"/>
  <c r="D14" i="24"/>
  <c r="D17" i="24"/>
  <c r="L7" i="24"/>
  <c r="M12" i="26"/>
  <c r="M13" i="26"/>
  <c r="N13" i="26"/>
  <c r="M14" i="26"/>
  <c r="N14" i="26"/>
  <c r="M15" i="26"/>
  <c r="N15" i="26"/>
  <c r="M16" i="26"/>
  <c r="N16" i="26"/>
  <c r="M17" i="26"/>
  <c r="N17" i="26"/>
  <c r="D7" i="24" l="1"/>
  <c r="O7" i="24"/>
  <c r="N2" i="31"/>
  <c r="M2" i="31" s="1"/>
  <c r="N50" i="31"/>
  <c r="M50" i="31" s="1"/>
  <c r="N44" i="31"/>
  <c r="M44" i="31" s="1"/>
  <c r="N74" i="31"/>
  <c r="M74" i="31" s="1"/>
  <c r="N14" i="31"/>
  <c r="M14" i="31" s="1"/>
  <c r="N62" i="31"/>
  <c r="M62" i="31" s="1"/>
  <c r="N56" i="31"/>
  <c r="M56" i="31" s="1"/>
  <c r="N26" i="31"/>
  <c r="M26" i="31" s="1"/>
  <c r="N38" i="31"/>
  <c r="M38" i="31" s="1"/>
  <c r="D15" i="24"/>
  <c r="D4" i="24"/>
  <c r="D5" i="24"/>
  <c r="D10" i="24"/>
  <c r="Y67" i="1"/>
  <c r="N7" i="24" l="1"/>
  <c r="C11" i="24"/>
  <c r="N11" i="24"/>
  <c r="C17" i="24"/>
  <c r="N17" i="24"/>
  <c r="C5" i="24"/>
  <c r="N5" i="24"/>
  <c r="C10" i="24"/>
  <c r="N10" i="24"/>
  <c r="C14" i="24"/>
  <c r="N14" i="24"/>
  <c r="C4" i="24"/>
  <c r="N4" i="24"/>
  <c r="C15" i="24"/>
  <c r="N15" i="24"/>
  <c r="C7" i="24"/>
  <c r="Y36" i="1"/>
  <c r="B36" i="24" l="1"/>
  <c r="B37" i="24"/>
  <c r="N18" i="26" l="1"/>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C63" i="24" l="1"/>
  <c r="C64" i="24"/>
  <c r="C65" i="24"/>
  <c r="C66" i="24"/>
  <c r="C67" i="24"/>
  <c r="B63" i="24"/>
  <c r="B64" i="24"/>
  <c r="B65" i="24"/>
  <c r="B66" i="24"/>
  <c r="B67" i="24"/>
  <c r="C62" i="24"/>
  <c r="B62" i="24"/>
  <c r="B60" i="24"/>
  <c r="B59" i="24"/>
  <c r="B58" i="24"/>
  <c r="B57" i="24"/>
  <c r="B56" i="24"/>
  <c r="B55" i="24"/>
  <c r="B54" i="24"/>
  <c r="B53" i="24"/>
  <c r="B52" i="24"/>
  <c r="B38" i="24" l="1"/>
  <c r="C50" i="27" l="1"/>
  <c r="C49" i="27"/>
  <c r="C4" i="27" l="1"/>
  <c r="C2" i="27"/>
  <c r="C3" i="27"/>
  <c r="L2" i="26"/>
  <c r="I2" i="26"/>
  <c r="N2" i="26" s="1"/>
  <c r="C3" i="26"/>
  <c r="C2" i="26"/>
  <c r="C46" i="27" l="1"/>
  <c r="D46" i="27"/>
  <c r="E46" i="27"/>
  <c r="F46" i="27"/>
  <c r="G46" i="27"/>
  <c r="H46" i="27"/>
  <c r="I46" i="27"/>
  <c r="M18" i="26"/>
  <c r="M19" i="26"/>
  <c r="M20" i="26"/>
  <c r="M21" i="26"/>
  <c r="M22" i="26"/>
  <c r="M23" i="26"/>
  <c r="M24" i="26"/>
  <c r="M25" i="26"/>
  <c r="M26" i="26"/>
  <c r="M27" i="26"/>
  <c r="M28" i="26"/>
  <c r="M29" i="26"/>
  <c r="M30" i="26"/>
  <c r="M31" i="26"/>
  <c r="M32" i="26"/>
  <c r="M33" i="26"/>
  <c r="M34" i="26"/>
  <c r="M35" i="26"/>
  <c r="M36" i="26"/>
  <c r="M37" i="26"/>
  <c r="M38" i="26"/>
  <c r="M39" i="26"/>
  <c r="M40" i="26"/>
  <c r="M41" i="26"/>
  <c r="M42" i="26"/>
  <c r="M43" i="26"/>
  <c r="M44" i="26"/>
  <c r="M45" i="26"/>
  <c r="M46" i="26"/>
  <c r="M47" i="26"/>
  <c r="M48" i="26"/>
  <c r="M49" i="26"/>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M94" i="26"/>
  <c r="M95" i="26"/>
  <c r="M96" i="26"/>
  <c r="M97" i="26"/>
  <c r="M98" i="26"/>
  <c r="M99" i="26"/>
  <c r="M100" i="26"/>
  <c r="M101" i="26"/>
  <c r="M102" i="26"/>
  <c r="M103" i="26"/>
  <c r="M104" i="26"/>
  <c r="M105" i="26"/>
  <c r="M106" i="26"/>
  <c r="M107" i="26"/>
  <c r="M108" i="26"/>
  <c r="M109" i="26"/>
  <c r="M110" i="26"/>
  <c r="M111" i="26"/>
  <c r="M112" i="26"/>
  <c r="M113" i="26"/>
  <c r="M114" i="26"/>
  <c r="M115" i="26"/>
  <c r="M116" i="26"/>
  <c r="M117" i="26"/>
  <c r="M118" i="26"/>
  <c r="M119" i="26"/>
  <c r="M120" i="26"/>
  <c r="M121" i="26"/>
  <c r="M122" i="26"/>
  <c r="M123" i="26"/>
  <c r="M124" i="26"/>
  <c r="M125" i="26"/>
  <c r="M126" i="26"/>
  <c r="M127" i="26"/>
  <c r="M128" i="26"/>
  <c r="M129" i="26"/>
  <c r="M130" i="26"/>
  <c r="M131" i="26"/>
  <c r="R2" i="26" l="1"/>
  <c r="X105" i="1" s="1"/>
  <c r="T3" i="26"/>
  <c r="Z106" i="1" s="1"/>
  <c r="S2" i="26"/>
  <c r="Y105" i="1" s="1"/>
  <c r="R3" i="26"/>
  <c r="X106" i="1" s="1"/>
  <c r="T2" i="26"/>
  <c r="Z105" i="1" s="1"/>
  <c r="S3" i="26"/>
  <c r="Y106" i="1" s="1"/>
  <c r="N3" i="26"/>
  <c r="C47" i="27"/>
  <c r="N4" i="26"/>
  <c r="I226" i="1"/>
  <c r="I227" i="1"/>
  <c r="I228" i="1"/>
  <c r="I229" i="1"/>
  <c r="I230" i="1"/>
  <c r="I231" i="1"/>
  <c r="I232" i="1"/>
  <c r="I233" i="1"/>
  <c r="I234" i="1"/>
  <c r="I235" i="1"/>
  <c r="I236" i="1"/>
  <c r="I237" i="1"/>
  <c r="I238" i="1"/>
  <c r="I239" i="1"/>
  <c r="I240" i="1"/>
  <c r="I241" i="1"/>
  <c r="I242" i="1"/>
  <c r="I243" i="1"/>
  <c r="I244" i="1"/>
  <c r="I245" i="1"/>
  <c r="I225" i="1"/>
  <c r="G226" i="1"/>
  <c r="G227" i="1"/>
  <c r="G228" i="1"/>
  <c r="G229" i="1"/>
  <c r="G230" i="1"/>
  <c r="G231" i="1"/>
  <c r="G232" i="1"/>
  <c r="G233" i="1"/>
  <c r="G234" i="1"/>
  <c r="G235" i="1"/>
  <c r="G236" i="1"/>
  <c r="G237" i="1"/>
  <c r="G238" i="1"/>
  <c r="G239" i="1"/>
  <c r="G240" i="1"/>
  <c r="G241" i="1"/>
  <c r="G242" i="1"/>
  <c r="G243" i="1"/>
  <c r="G244" i="1"/>
  <c r="G245" i="1"/>
  <c r="G225" i="1"/>
  <c r="E226" i="1"/>
  <c r="E227" i="1"/>
  <c r="E228" i="1"/>
  <c r="E229" i="1"/>
  <c r="E230" i="1"/>
  <c r="E231" i="1"/>
  <c r="E232" i="1"/>
  <c r="E233" i="1"/>
  <c r="E234" i="1"/>
  <c r="E235" i="1"/>
  <c r="E236" i="1"/>
  <c r="E237" i="1"/>
  <c r="E238" i="1"/>
  <c r="E239" i="1"/>
  <c r="E240" i="1"/>
  <c r="E241" i="1"/>
  <c r="E242" i="1"/>
  <c r="E243" i="1"/>
  <c r="E244" i="1"/>
  <c r="E245" i="1"/>
  <c r="E225" i="1"/>
  <c r="U2" i="26" l="1"/>
  <c r="AA105" i="1" s="1"/>
  <c r="U3" i="26"/>
  <c r="AA106" i="1" s="1"/>
  <c r="T4" i="26"/>
  <c r="Z107" i="1" s="1"/>
  <c r="C10" i="25"/>
  <c r="C11" i="25"/>
  <c r="C12" i="25"/>
  <c r="H12" i="25"/>
  <c r="I12" i="25"/>
  <c r="C13" i="25"/>
  <c r="E13" i="25" s="1"/>
  <c r="H13" i="25"/>
  <c r="I13" i="25"/>
  <c r="F211" i="25"/>
  <c r="G211" i="25"/>
  <c r="I211" i="25" s="1"/>
  <c r="F212" i="25"/>
  <c r="G212" i="25"/>
  <c r="I212" i="25" s="1"/>
  <c r="F213" i="25"/>
  <c r="G213" i="25"/>
  <c r="I213" i="25" s="1"/>
  <c r="F214" i="25"/>
  <c r="G214" i="25"/>
  <c r="I214" i="25"/>
  <c r="F215" i="25"/>
  <c r="G215" i="25"/>
  <c r="I215" i="25" s="1"/>
  <c r="F216" i="25"/>
  <c r="G216" i="25"/>
  <c r="I216" i="25" s="1"/>
  <c r="F217" i="25"/>
  <c r="G217" i="25"/>
  <c r="I217" i="25" s="1"/>
  <c r="F218" i="25"/>
  <c r="G218" i="25"/>
  <c r="I218" i="25"/>
  <c r="F219" i="25"/>
  <c r="G219" i="25"/>
  <c r="I219" i="25" s="1"/>
  <c r="F220" i="25"/>
  <c r="G220" i="25"/>
  <c r="I220" i="25" s="1"/>
  <c r="F221" i="25"/>
  <c r="G221" i="25"/>
  <c r="I221" i="25" s="1"/>
  <c r="F222" i="25"/>
  <c r="G222" i="25"/>
  <c r="I222" i="25"/>
  <c r="F223" i="25"/>
  <c r="G223" i="25"/>
  <c r="I223" i="25"/>
  <c r="F224" i="25"/>
  <c r="G224" i="25"/>
  <c r="I224" i="25" s="1"/>
  <c r="F225" i="25"/>
  <c r="G225" i="25"/>
  <c r="I225" i="25" s="1"/>
  <c r="F227" i="25"/>
  <c r="H227" i="25"/>
  <c r="F228" i="25"/>
  <c r="H228" i="25"/>
  <c r="F229" i="25"/>
  <c r="H229" i="25"/>
  <c r="F230" i="25"/>
  <c r="H230" i="25"/>
  <c r="F231" i="25"/>
  <c r="H231" i="25"/>
  <c r="F232" i="25"/>
  <c r="H232" i="25"/>
  <c r="F233" i="25"/>
  <c r="H233" i="25"/>
  <c r="F234" i="25"/>
  <c r="H234" i="25"/>
  <c r="F235" i="25"/>
  <c r="H235" i="25"/>
  <c r="F236" i="25"/>
  <c r="H236" i="25"/>
  <c r="F237" i="25"/>
  <c r="H237" i="25"/>
  <c r="F238" i="25"/>
  <c r="H238" i="25"/>
  <c r="F239" i="25"/>
  <c r="H239" i="25"/>
  <c r="F240" i="25"/>
  <c r="H240" i="25"/>
  <c r="F241" i="25"/>
  <c r="H241" i="25"/>
  <c r="F242" i="25"/>
  <c r="H242" i="25"/>
  <c r="F243" i="25"/>
  <c r="H243" i="25"/>
  <c r="F244" i="25"/>
  <c r="H244" i="25"/>
  <c r="F245" i="25"/>
  <c r="H245" i="25"/>
  <c r="F246" i="25"/>
  <c r="H246" i="25"/>
  <c r="F247" i="25"/>
  <c r="H247" i="25"/>
  <c r="F248" i="25"/>
  <c r="H248" i="25"/>
  <c r="F249" i="25"/>
  <c r="H249" i="25"/>
  <c r="F250" i="25"/>
  <c r="H250" i="25"/>
  <c r="F251" i="25"/>
  <c r="H251" i="25"/>
  <c r="F253" i="25"/>
  <c r="G253" i="25"/>
  <c r="K253" i="25"/>
  <c r="F254" i="25"/>
  <c r="G254" i="25"/>
  <c r="K254" i="25"/>
  <c r="F255" i="25"/>
  <c r="G255" i="25"/>
  <c r="K255" i="25"/>
  <c r="F256" i="25"/>
  <c r="G256" i="25"/>
  <c r="K256" i="25"/>
  <c r="F257" i="25"/>
  <c r="G257" i="25"/>
  <c r="K257" i="25"/>
  <c r="F258" i="25"/>
  <c r="G258" i="25"/>
  <c r="K258" i="25"/>
  <c r="F259" i="25"/>
  <c r="G259" i="25"/>
  <c r="K259" i="25"/>
  <c r="F260" i="25"/>
  <c r="G260" i="25"/>
  <c r="K260" i="25"/>
  <c r="F261" i="25"/>
  <c r="G261" i="25"/>
  <c r="K261" i="25"/>
  <c r="F262" i="25"/>
  <c r="G262" i="25"/>
  <c r="K262" i="25"/>
  <c r="F263" i="25"/>
  <c r="G263" i="25"/>
  <c r="K263" i="25"/>
  <c r="F264" i="25"/>
  <c r="G264" i="25"/>
  <c r="K264" i="25"/>
  <c r="F265" i="25"/>
  <c r="G265" i="25"/>
  <c r="K265" i="25"/>
  <c r="F266" i="25"/>
  <c r="G266" i="25"/>
  <c r="K266" i="25"/>
  <c r="F267" i="25"/>
  <c r="G267" i="25"/>
  <c r="K267" i="25"/>
  <c r="F268" i="25"/>
  <c r="G268" i="25"/>
  <c r="K268" i="25"/>
  <c r="F269" i="25"/>
  <c r="G269" i="25"/>
  <c r="K269" i="25"/>
  <c r="F270" i="25"/>
  <c r="G270" i="25"/>
  <c r="K270" i="25"/>
  <c r="F271" i="25"/>
  <c r="G271" i="25"/>
  <c r="K271" i="25"/>
  <c r="F272" i="25"/>
  <c r="G272" i="25"/>
  <c r="K272" i="25"/>
  <c r="F273" i="25"/>
  <c r="G273" i="25"/>
  <c r="K273" i="25"/>
  <c r="F274" i="25"/>
  <c r="G274" i="25"/>
  <c r="K274" i="25"/>
  <c r="F275" i="25"/>
  <c r="G275" i="25"/>
  <c r="K275" i="25"/>
  <c r="F276" i="25"/>
  <c r="G276" i="25"/>
  <c r="K276" i="25"/>
  <c r="F277" i="25"/>
  <c r="G277" i="25"/>
  <c r="K277" i="25"/>
  <c r="F278" i="25"/>
  <c r="G278" i="25"/>
  <c r="K278" i="25"/>
  <c r="F280" i="25"/>
  <c r="G280" i="25"/>
  <c r="K280" i="25"/>
  <c r="F281" i="25"/>
  <c r="G281" i="25"/>
  <c r="K281" i="25"/>
  <c r="F282" i="25"/>
  <c r="G282" i="25"/>
  <c r="K282" i="25"/>
  <c r="F283" i="25"/>
  <c r="G283" i="25"/>
  <c r="K283" i="25"/>
  <c r="F284" i="25"/>
  <c r="G284" i="25"/>
  <c r="K284" i="25"/>
  <c r="F285" i="25"/>
  <c r="G285" i="25"/>
  <c r="K285" i="25"/>
  <c r="F286" i="25"/>
  <c r="G286" i="25"/>
  <c r="K286" i="25"/>
  <c r="F287" i="25"/>
  <c r="G287" i="25"/>
  <c r="K287" i="25"/>
  <c r="F288" i="25"/>
  <c r="G288" i="25"/>
  <c r="K288" i="25"/>
  <c r="F289" i="25"/>
  <c r="G289" i="25"/>
  <c r="K289" i="25"/>
  <c r="F290" i="25"/>
  <c r="G290" i="25"/>
  <c r="K290" i="25"/>
  <c r="F291" i="25"/>
  <c r="G291" i="25"/>
  <c r="K291" i="25"/>
  <c r="F292" i="25"/>
  <c r="G292" i="25"/>
  <c r="K292" i="25"/>
  <c r="F293" i="25"/>
  <c r="G293" i="25"/>
  <c r="K293" i="25"/>
  <c r="F294" i="25"/>
  <c r="G294" i="25"/>
  <c r="K294" i="25"/>
  <c r="F295" i="25"/>
  <c r="G295" i="25"/>
  <c r="K295" i="25"/>
  <c r="F296" i="25"/>
  <c r="G296" i="25"/>
  <c r="K296" i="25"/>
  <c r="F297" i="25"/>
  <c r="G297" i="25"/>
  <c r="K297" i="25"/>
  <c r="F298" i="25"/>
  <c r="G298" i="25"/>
  <c r="K298" i="25"/>
  <c r="F299" i="25"/>
  <c r="G299" i="25"/>
  <c r="K299" i="25"/>
  <c r="F300" i="25"/>
  <c r="G300" i="25"/>
  <c r="K300" i="25"/>
  <c r="F301" i="25"/>
  <c r="G301" i="25"/>
  <c r="K301" i="25"/>
  <c r="F302" i="25"/>
  <c r="G302" i="25"/>
  <c r="K302" i="25"/>
  <c r="F303" i="25"/>
  <c r="G303" i="25"/>
  <c r="K303" i="25"/>
  <c r="F304" i="25"/>
  <c r="G304" i="25"/>
  <c r="K304" i="25"/>
  <c r="F305" i="25"/>
  <c r="G305" i="25"/>
  <c r="K305" i="25"/>
  <c r="B315" i="25"/>
  <c r="D10" i="25" s="1"/>
  <c r="F10" i="25" s="1"/>
  <c r="G10" i="25" s="1"/>
  <c r="D315" i="25"/>
  <c r="D13" i="25" s="1"/>
  <c r="F13" i="25" s="1"/>
  <c r="C321" i="25"/>
  <c r="C327" i="25"/>
  <c r="C328" i="25"/>
  <c r="C343" i="25"/>
  <c r="D343" i="25" s="1"/>
  <c r="G343" i="25"/>
  <c r="H343" i="25"/>
  <c r="E348" i="25"/>
  <c r="F348" i="25"/>
  <c r="C348" i="25" s="1"/>
  <c r="D348" i="25" s="1"/>
  <c r="C377" i="25"/>
  <c r="C378" i="25" s="1"/>
  <c r="D377" i="25"/>
  <c r="D378" i="25" s="1"/>
  <c r="E377" i="25"/>
  <c r="F377" i="25"/>
  <c r="G377" i="25"/>
  <c r="E378" i="25"/>
  <c r="G378" i="25"/>
  <c r="C391" i="25"/>
  <c r="D391" i="25"/>
  <c r="E391" i="25"/>
  <c r="F391" i="25"/>
  <c r="G391" i="25"/>
  <c r="C414" i="25"/>
  <c r="D414" i="25"/>
  <c r="C415" i="25"/>
  <c r="D415" i="25"/>
  <c r="C429" i="25"/>
  <c r="C430" i="25"/>
  <c r="C431" i="25" s="1"/>
  <c r="K435" i="25"/>
  <c r="L435" i="25" s="1"/>
  <c r="M435" i="25" s="1"/>
  <c r="K436" i="25"/>
  <c r="L436" i="25" s="1"/>
  <c r="M436" i="25" s="1"/>
  <c r="K437" i="25"/>
  <c r="L437" i="25"/>
  <c r="M437" i="25" s="1"/>
  <c r="K438" i="25"/>
  <c r="L438" i="25"/>
  <c r="M438" i="25"/>
  <c r="K439" i="25"/>
  <c r="L439" i="25" s="1"/>
  <c r="M439" i="25" s="1"/>
  <c r="K440" i="25"/>
  <c r="L440" i="25" s="1"/>
  <c r="M440" i="25" s="1"/>
  <c r="K441" i="25"/>
  <c r="L441" i="25"/>
  <c r="M441" i="25" s="1"/>
  <c r="K442" i="25"/>
  <c r="L442" i="25"/>
  <c r="M442" i="25"/>
  <c r="K443" i="25"/>
  <c r="L443" i="25" s="1"/>
  <c r="M443" i="25" s="1"/>
  <c r="K444" i="25"/>
  <c r="L444" i="25" s="1"/>
  <c r="M444" i="25" s="1"/>
  <c r="C445" i="25"/>
  <c r="C447" i="25" s="1"/>
  <c r="D445" i="25"/>
  <c r="E445" i="25"/>
  <c r="C446" i="25"/>
  <c r="K450" i="25"/>
  <c r="L450" i="25" s="1"/>
  <c r="M450" i="25" s="1"/>
  <c r="K451" i="25"/>
  <c r="L451" i="25" s="1"/>
  <c r="M451" i="25" s="1"/>
  <c r="K452" i="25"/>
  <c r="L452" i="25"/>
  <c r="M452" i="25" s="1"/>
  <c r="K453" i="25"/>
  <c r="L453" i="25"/>
  <c r="M453" i="25"/>
  <c r="K454" i="25"/>
  <c r="L454" i="25" s="1"/>
  <c r="M454" i="25" s="1"/>
  <c r="K455" i="25"/>
  <c r="L455" i="25" s="1"/>
  <c r="M455" i="25" s="1"/>
  <c r="K456" i="25"/>
  <c r="L456" i="25"/>
  <c r="M456" i="25" s="1"/>
  <c r="K457" i="25"/>
  <c r="L457" i="25"/>
  <c r="M457" i="25"/>
  <c r="K458" i="25"/>
  <c r="L458" i="25" s="1"/>
  <c r="M458" i="25" s="1"/>
  <c r="K459" i="25"/>
  <c r="L459" i="25" s="1"/>
  <c r="M459" i="25" s="1"/>
  <c r="C460" i="25"/>
  <c r="C462" i="25" s="1"/>
  <c r="D460" i="25"/>
  <c r="E460" i="25"/>
  <c r="C461" i="25"/>
  <c r="C329" i="25" l="1"/>
  <c r="C330" i="25" s="1"/>
  <c r="E461" i="25"/>
  <c r="E462" i="25" s="1"/>
  <c r="E446" i="25"/>
  <c r="E447" i="25" s="1"/>
  <c r="K13" i="25"/>
  <c r="J13" i="25"/>
  <c r="G13" i="25"/>
  <c r="E10" i="25"/>
  <c r="D12" i="25"/>
  <c r="F12" i="25" s="1"/>
  <c r="D446" i="25"/>
  <c r="G446" i="25" s="1"/>
  <c r="D11" i="25"/>
  <c r="D461" i="25"/>
  <c r="G461" i="25" s="1"/>
  <c r="D316" i="25"/>
  <c r="E12" i="25" l="1"/>
  <c r="F11" i="25"/>
  <c r="G11" i="25" s="1"/>
  <c r="E11" i="25"/>
  <c r="J12" i="25"/>
  <c r="G12" i="25"/>
  <c r="K12" i="25"/>
  <c r="D447" i="25"/>
  <c r="D462" i="25"/>
  <c r="P26" i="6" l="1"/>
  <c r="S26" i="1" s="1"/>
  <c r="P90" i="6" l="1"/>
  <c r="S90" i="1" s="1"/>
  <c r="P76" i="6"/>
  <c r="S76" i="1" s="1"/>
  <c r="P77" i="6"/>
  <c r="S77" i="1" s="1"/>
  <c r="P78" i="6"/>
  <c r="S78" i="1" s="1"/>
  <c r="P70" i="6"/>
  <c r="S70" i="1" s="1"/>
  <c r="P71" i="6"/>
  <c r="S71" i="1" s="1"/>
  <c r="P55" i="6"/>
  <c r="S55" i="1" s="1"/>
  <c r="P60" i="6"/>
  <c r="S60" i="1" s="1"/>
  <c r="P59" i="6"/>
  <c r="S59" i="1" s="1"/>
  <c r="P39" i="6"/>
  <c r="S39" i="1" s="1"/>
  <c r="P38" i="6"/>
  <c r="S38" i="1" s="1"/>
  <c r="P58" i="6"/>
  <c r="S58" i="1" s="1"/>
  <c r="P63" i="6" l="1"/>
  <c r="S63" i="1" s="1"/>
  <c r="P62" i="6"/>
  <c r="S62" i="1" s="1"/>
  <c r="Y63" i="1"/>
  <c r="P61" i="6"/>
  <c r="S61" i="1" s="1"/>
  <c r="Y32" i="1"/>
  <c r="P42" i="6"/>
  <c r="S42" i="1" s="1"/>
  <c r="P43" i="6"/>
  <c r="S43" i="1" s="1"/>
  <c r="P44" i="6"/>
  <c r="S44" i="1" s="1"/>
  <c r="AP23" i="1" l="1"/>
  <c r="AV23" i="1" s="1"/>
  <c r="AP35" i="1"/>
  <c r="AV35" i="1" s="1"/>
  <c r="AP15" i="1"/>
  <c r="AV15" i="1" s="1"/>
  <c r="AP165" i="1"/>
  <c r="AV165" i="1" s="1"/>
  <c r="AP12" i="1"/>
  <c r="AV12" i="1" s="1"/>
  <c r="AP22" i="1"/>
  <c r="AV22" i="1" s="1"/>
  <c r="AP134" i="1"/>
  <c r="AV134" i="1" s="1"/>
  <c r="AW134" i="1" s="1"/>
  <c r="AX134" i="1" s="1"/>
  <c r="AY134" i="1" s="1"/>
  <c r="AP57" i="1"/>
  <c r="AV57" i="1" s="1"/>
  <c r="AW57" i="1" s="1"/>
  <c r="AX57" i="1" s="1"/>
  <c r="AY57" i="1" s="1"/>
  <c r="AP32" i="1"/>
  <c r="AV32" i="1" s="1"/>
  <c r="AP61" i="1"/>
  <c r="AV61" i="1" s="1"/>
  <c r="AP102" i="1"/>
  <c r="AV102" i="1" s="1"/>
  <c r="AW102" i="1" s="1"/>
  <c r="AX102" i="1" s="1"/>
  <c r="AY102" i="1" s="1"/>
  <c r="AP43" i="1"/>
  <c r="AV43" i="1" s="1"/>
  <c r="AW43" i="1" s="1"/>
  <c r="AX43" i="1" s="1"/>
  <c r="AY43" i="1" s="1"/>
  <c r="AP25" i="1"/>
  <c r="AV25" i="1" s="1"/>
  <c r="AP46" i="1"/>
  <c r="AV46" i="1" s="1"/>
  <c r="AW46" i="1" s="1"/>
  <c r="AX46" i="1" s="1"/>
  <c r="AY46" i="1" s="1"/>
  <c r="AP41" i="1"/>
  <c r="AV41" i="1" s="1"/>
  <c r="AW41" i="1" s="1"/>
  <c r="AX41" i="1" s="1"/>
  <c r="AY41" i="1" s="1"/>
  <c r="AP50" i="1"/>
  <c r="AV50" i="1" s="1"/>
  <c r="AP54" i="1"/>
  <c r="AV54" i="1" s="1"/>
  <c r="AW54" i="1" s="1"/>
  <c r="AX54" i="1" s="1"/>
  <c r="AY54" i="1" s="1"/>
  <c r="AP11" i="1"/>
  <c r="AV11" i="1" s="1"/>
  <c r="AW11" i="1" s="1"/>
  <c r="AX11" i="1" s="1"/>
  <c r="AY11" i="1" s="1"/>
  <c r="AP36" i="1"/>
  <c r="AP30" i="1"/>
  <c r="AV30" i="1" s="1"/>
  <c r="AP60" i="1"/>
  <c r="AV60" i="1" s="1"/>
  <c r="AP56" i="1"/>
  <c r="AV56" i="1" s="1"/>
  <c r="AW56" i="1" s="1"/>
  <c r="AX56" i="1" s="1"/>
  <c r="AY56" i="1" s="1"/>
  <c r="AP38" i="1"/>
  <c r="AV38" i="1" s="1"/>
  <c r="AP39" i="1"/>
  <c r="AV39" i="1" s="1"/>
  <c r="AP55" i="1"/>
  <c r="AV55" i="1" s="1"/>
  <c r="AP29" i="1"/>
  <c r="AV29" i="1" s="1"/>
  <c r="AW29" i="1" s="1"/>
  <c r="AX29" i="1" s="1"/>
  <c r="AY29" i="1" s="1"/>
  <c r="AP19" i="1"/>
  <c r="AV19" i="1" s="1"/>
  <c r="AW19" i="1" s="1"/>
  <c r="AX19" i="1" s="1"/>
  <c r="AY19" i="1" s="1"/>
  <c r="AP26" i="1"/>
  <c r="AV26" i="1" s="1"/>
  <c r="AP20" i="1"/>
  <c r="AV20" i="1" s="1"/>
  <c r="AP47" i="1"/>
  <c r="AV47" i="1" s="1"/>
  <c r="AW47" i="1" s="1"/>
  <c r="AX47" i="1" s="1"/>
  <c r="AY47" i="1" s="1"/>
  <c r="AP42" i="1"/>
  <c r="AV42" i="1" s="1"/>
  <c r="AP28" i="1"/>
  <c r="AV28" i="1" s="1"/>
  <c r="AP53" i="1"/>
  <c r="AV53" i="1" s="1"/>
  <c r="AW53" i="1" s="1"/>
  <c r="AX53" i="1" s="1"/>
  <c r="AY53" i="1" s="1"/>
  <c r="AP18" i="1"/>
  <c r="AV18" i="1" s="1"/>
  <c r="AW18" i="1" s="1"/>
  <c r="AX18" i="1" s="1"/>
  <c r="AY18" i="1" s="1"/>
  <c r="AP45" i="1"/>
  <c r="AV45" i="1" s="1"/>
  <c r="AW45" i="1" s="1"/>
  <c r="AX45" i="1" s="1"/>
  <c r="AY45" i="1" s="1"/>
  <c r="AP44" i="1"/>
  <c r="AV44" i="1" s="1"/>
  <c r="AW44" i="1" s="1"/>
  <c r="AX44" i="1" s="1"/>
  <c r="AY44" i="1" s="1"/>
  <c r="AP27" i="1"/>
  <c r="AV27" i="1" s="1"/>
  <c r="AP21" i="1"/>
  <c r="AV21" i="1" s="1"/>
  <c r="AP31" i="1"/>
  <c r="AV31" i="1" s="1"/>
  <c r="AP123" i="1"/>
  <c r="AV123" i="1" s="1"/>
  <c r="AW123" i="1" s="1"/>
  <c r="AX123" i="1" s="1"/>
  <c r="AY123" i="1" s="1"/>
  <c r="AP49" i="1"/>
  <c r="AV49" i="1" s="1"/>
  <c r="AP48" i="1"/>
  <c r="AV48" i="1" s="1"/>
  <c r="AP34" i="1"/>
  <c r="AV34" i="1" s="1"/>
  <c r="AP58" i="1"/>
  <c r="AV58" i="1" s="1"/>
  <c r="AW58" i="1" s="1"/>
  <c r="AX58" i="1" s="1"/>
  <c r="AY58" i="1" s="1"/>
  <c r="AP37" i="1"/>
  <c r="AV37" i="1" s="1"/>
  <c r="AW37" i="1" s="1"/>
  <c r="AX37" i="1" s="1"/>
  <c r="AY37" i="1" s="1"/>
  <c r="AP33" i="1"/>
  <c r="AV33" i="1" s="1"/>
  <c r="AP59" i="1"/>
  <c r="AV59" i="1" s="1"/>
  <c r="AP83" i="1"/>
  <c r="AV83" i="1" s="1"/>
  <c r="AP98" i="1"/>
  <c r="AV98" i="1" s="1"/>
  <c r="AP82" i="1"/>
  <c r="AV82" i="1" s="1"/>
  <c r="AP169" i="1"/>
  <c r="AV169" i="1" s="1"/>
  <c r="AP138" i="1"/>
  <c r="AV138" i="1" s="1"/>
  <c r="AW138" i="1" s="1"/>
  <c r="AX138" i="1" s="1"/>
  <c r="AY138" i="1" s="1"/>
  <c r="AP114" i="1"/>
  <c r="AV114" i="1" s="1"/>
  <c r="AW114" i="1" s="1"/>
  <c r="AX114" i="1" s="1"/>
  <c r="AY114" i="1" s="1"/>
  <c r="AP68" i="1"/>
  <c r="AV68" i="1" s="1"/>
  <c r="AP170" i="1"/>
  <c r="AV170" i="1" s="1"/>
  <c r="AP88" i="1"/>
  <c r="AV88" i="1" s="1"/>
  <c r="AW88" i="1" s="1"/>
  <c r="AX88" i="1" s="1"/>
  <c r="AY88" i="1" s="1"/>
  <c r="AP78" i="1"/>
  <c r="AV78" i="1" s="1"/>
  <c r="AP133" i="1"/>
  <c r="AV133" i="1" s="1"/>
  <c r="AW133" i="1" s="1"/>
  <c r="AX133" i="1" s="1"/>
  <c r="AY133" i="1" s="1"/>
  <c r="AP66" i="1"/>
  <c r="AV66" i="1" s="1"/>
  <c r="AP86" i="1"/>
  <c r="AV86" i="1" s="1"/>
  <c r="AP120" i="1"/>
  <c r="AV120" i="1" s="1"/>
  <c r="AP146" i="1"/>
  <c r="AP127" i="1"/>
  <c r="AV127" i="1" s="1"/>
  <c r="AP152" i="1"/>
  <c r="AV152" i="1" s="1"/>
  <c r="AP126" i="1"/>
  <c r="AV126" i="1" s="1"/>
  <c r="AP121" i="1"/>
  <c r="AV121" i="1" s="1"/>
  <c r="AW121" i="1" s="1"/>
  <c r="AX121" i="1" s="1"/>
  <c r="AY121" i="1" s="1"/>
  <c r="AP155" i="1"/>
  <c r="AV155" i="1" s="1"/>
  <c r="AP105" i="1"/>
  <c r="AV105" i="1" s="1"/>
  <c r="AP167" i="1"/>
  <c r="AV167" i="1" s="1"/>
  <c r="AP113" i="1"/>
  <c r="AV113" i="1" s="1"/>
  <c r="AP109" i="1"/>
  <c r="AV109" i="1" s="1"/>
  <c r="AP91" i="1"/>
  <c r="AV91" i="1" s="1"/>
  <c r="AP62" i="1"/>
  <c r="AV62" i="1" s="1"/>
  <c r="AP131" i="1"/>
  <c r="AV131" i="1" s="1"/>
  <c r="AP132" i="1"/>
  <c r="AV132" i="1" s="1"/>
  <c r="AP106" i="1"/>
  <c r="AV106" i="1" s="1"/>
  <c r="AW106" i="1" s="1"/>
  <c r="AX106" i="1" s="1"/>
  <c r="AY106" i="1" s="1"/>
  <c r="AP73" i="1"/>
  <c r="AV73" i="1" s="1"/>
  <c r="AP108" i="1"/>
  <c r="AV108" i="1" s="1"/>
  <c r="AW108" i="1" s="1"/>
  <c r="AX108" i="1" s="1"/>
  <c r="AY108" i="1" s="1"/>
  <c r="AP161" i="1"/>
  <c r="AV161" i="1" s="1"/>
  <c r="AP75" i="1"/>
  <c r="AV75" i="1" s="1"/>
  <c r="AP141" i="1"/>
  <c r="AV141" i="1" s="1"/>
  <c r="AP85" i="1"/>
  <c r="AV85" i="1" s="1"/>
  <c r="AW85" i="1" s="1"/>
  <c r="AX85" i="1" s="1"/>
  <c r="AY85" i="1" s="1"/>
  <c r="AP112" i="1"/>
  <c r="AV112" i="1" s="1"/>
  <c r="AW112" i="1" s="1"/>
  <c r="AX112" i="1" s="1"/>
  <c r="AY112" i="1" s="1"/>
  <c r="AP125" i="1"/>
  <c r="AV125" i="1" s="1"/>
  <c r="AP107" i="1"/>
  <c r="AV107" i="1" s="1"/>
  <c r="AP111" i="1"/>
  <c r="AV111" i="1" s="1"/>
  <c r="AW111" i="1" s="1"/>
  <c r="AX111" i="1" s="1"/>
  <c r="AY111" i="1" s="1"/>
  <c r="AP153" i="1"/>
  <c r="AV153" i="1" s="1"/>
  <c r="AP77" i="1"/>
  <c r="AV77" i="1" s="1"/>
  <c r="AW77" i="1" s="1"/>
  <c r="AX77" i="1" s="1"/>
  <c r="AY77" i="1" s="1"/>
  <c r="AP101" i="1"/>
  <c r="AV101" i="1" s="1"/>
  <c r="AP140" i="1"/>
  <c r="AV140" i="1" s="1"/>
  <c r="AP79" i="1"/>
  <c r="AV79" i="1" s="1"/>
  <c r="AP99" i="1"/>
  <c r="AV99" i="1" s="1"/>
  <c r="AW99" i="1" s="1"/>
  <c r="AX99" i="1" s="1"/>
  <c r="AY99" i="1" s="1"/>
  <c r="AP163" i="1"/>
  <c r="AV163" i="1" s="1"/>
  <c r="AW163" i="1" s="1"/>
  <c r="AX163" i="1" s="1"/>
  <c r="AY163" i="1" s="1"/>
  <c r="AP156" i="1"/>
  <c r="AV156" i="1" s="1"/>
  <c r="AP67" i="1"/>
  <c r="AV67" i="1" s="1"/>
  <c r="AW67" i="1" s="1"/>
  <c r="AX67" i="1" s="1"/>
  <c r="AY67" i="1" s="1"/>
  <c r="AP154" i="1"/>
  <c r="AV154" i="1" s="1"/>
  <c r="AP117" i="1"/>
  <c r="AV117" i="1" s="1"/>
  <c r="AP159" i="1"/>
  <c r="AV159" i="1" s="1"/>
  <c r="AP147" i="1"/>
  <c r="AV147" i="1" s="1"/>
  <c r="AW147" i="1" s="1"/>
  <c r="AX147" i="1" s="1"/>
  <c r="AY147" i="1" s="1"/>
  <c r="AP94" i="1"/>
  <c r="AV94" i="1" s="1"/>
  <c r="AP89" i="1"/>
  <c r="AV89" i="1" s="1"/>
  <c r="AP63" i="1"/>
  <c r="AV63" i="1" s="1"/>
  <c r="AW63" i="1" s="1"/>
  <c r="AX63" i="1" s="1"/>
  <c r="AY63" i="1" s="1"/>
  <c r="AP129" i="1"/>
  <c r="AV129" i="1" s="1"/>
  <c r="AP65" i="1"/>
  <c r="AV65" i="1" s="1"/>
  <c r="AP84" i="1"/>
  <c r="AV84" i="1" s="1"/>
  <c r="AP158" i="1"/>
  <c r="AV158" i="1" s="1"/>
  <c r="AP104" i="1"/>
  <c r="AV104" i="1" s="1"/>
  <c r="AP90" i="1"/>
  <c r="AV90" i="1" s="1"/>
  <c r="AP110" i="1"/>
  <c r="AV110" i="1" s="1"/>
  <c r="AP122" i="1"/>
  <c r="AV122" i="1" s="1"/>
  <c r="AP115" i="1"/>
  <c r="AV115" i="1" s="1"/>
  <c r="AW115" i="1" s="1"/>
  <c r="AX115" i="1" s="1"/>
  <c r="AY115" i="1" s="1"/>
  <c r="AP81" i="1"/>
  <c r="AV81" i="1" s="1"/>
  <c r="AW81" i="1" s="1"/>
  <c r="AX81" i="1" s="1"/>
  <c r="AY81" i="1" s="1"/>
  <c r="AP71" i="1"/>
  <c r="AV71" i="1" s="1"/>
  <c r="AW71" i="1" s="1"/>
  <c r="AX71" i="1" s="1"/>
  <c r="AY71" i="1" s="1"/>
  <c r="AP100" i="1"/>
  <c r="AV100" i="1" s="1"/>
  <c r="AP164" i="1"/>
  <c r="AV164" i="1" s="1"/>
  <c r="AW164" i="1" s="1"/>
  <c r="AX164" i="1" s="1"/>
  <c r="AY164" i="1" s="1"/>
  <c r="AP130" i="1"/>
  <c r="AV130" i="1" s="1"/>
  <c r="AP87" i="1"/>
  <c r="AV87" i="1" s="1"/>
  <c r="AP168" i="1"/>
  <c r="AV168" i="1" s="1"/>
  <c r="AP160" i="1"/>
  <c r="AV160" i="1" s="1"/>
  <c r="AP76" i="1"/>
  <c r="AV76" i="1" s="1"/>
  <c r="AP96" i="1"/>
  <c r="AV96" i="1" s="1"/>
  <c r="AW96" i="1" s="1"/>
  <c r="AX96" i="1" s="1"/>
  <c r="AY96" i="1" s="1"/>
  <c r="AP142" i="1"/>
  <c r="AV142" i="1" s="1"/>
  <c r="AW142" i="1" s="1"/>
  <c r="AX142" i="1" s="1"/>
  <c r="AY142" i="1" s="1"/>
  <c r="AP116" i="1"/>
  <c r="AV116" i="1" s="1"/>
  <c r="AP69" i="1"/>
  <c r="AV69" i="1" s="1"/>
  <c r="AP95" i="1"/>
  <c r="AV95" i="1" s="1"/>
  <c r="AW95" i="1" s="1"/>
  <c r="AX95" i="1" s="1"/>
  <c r="AY95" i="1" s="1"/>
  <c r="AP137" i="1"/>
  <c r="AV137" i="1" s="1"/>
  <c r="AP80" i="1"/>
  <c r="AV80" i="1" s="1"/>
  <c r="AW80" i="1" s="1"/>
  <c r="AX80" i="1" s="1"/>
  <c r="AY80" i="1" s="1"/>
  <c r="AP70" i="1"/>
  <c r="AV70" i="1" s="1"/>
  <c r="AW70" i="1" s="1"/>
  <c r="AX70" i="1" s="1"/>
  <c r="AY70" i="1" s="1"/>
  <c r="AP139" i="1"/>
  <c r="AV139" i="1" s="1"/>
  <c r="AW139" i="1" s="1"/>
  <c r="AX139" i="1" s="1"/>
  <c r="AY139" i="1" s="1"/>
  <c r="AP74" i="1"/>
  <c r="AV74" i="1" s="1"/>
  <c r="AW74" i="1" s="1"/>
  <c r="AX74" i="1" s="1"/>
  <c r="AY74" i="1" s="1"/>
  <c r="AP128" i="1"/>
  <c r="AV128" i="1" s="1"/>
  <c r="AP162" i="1"/>
  <c r="AV162" i="1" s="1"/>
  <c r="AW162" i="1" s="1"/>
  <c r="AX162" i="1" s="1"/>
  <c r="AY162" i="1" s="1"/>
  <c r="AP10" i="1"/>
  <c r="AV10" i="1" s="1"/>
  <c r="I15" i="30"/>
  <c r="I84" i="30"/>
  <c r="I16" i="30" l="1"/>
  <c r="I129" i="30"/>
  <c r="AW61" i="1"/>
  <c r="AX61" i="1" s="1"/>
  <c r="AY61" i="1" s="1"/>
  <c r="AW26" i="1"/>
  <c r="AX26" i="1" s="1"/>
  <c r="I93" i="30"/>
  <c r="I110" i="30"/>
  <c r="AV146" i="1"/>
  <c r="AW146" i="1" s="1"/>
  <c r="AX146" i="1" s="1"/>
  <c r="AY146" i="1" s="1"/>
  <c r="AW27" i="1"/>
  <c r="AX27" i="1" s="1"/>
  <c r="AY27" i="1" s="1"/>
  <c r="AW15" i="1"/>
  <c r="AX15" i="1" s="1"/>
  <c r="AY15" i="1" s="1"/>
  <c r="AW28" i="1"/>
  <c r="AX28" i="1" s="1"/>
  <c r="AW25" i="1"/>
  <c r="AX25" i="1" s="1"/>
  <c r="AW30" i="1"/>
  <c r="AX30" i="1" s="1"/>
  <c r="I130" i="30"/>
  <c r="AW22" i="1"/>
  <c r="AX22" i="1" s="1"/>
  <c r="AY22" i="1" s="1"/>
  <c r="AW20" i="1"/>
  <c r="AX20" i="1" s="1"/>
  <c r="AY20" i="1" s="1"/>
  <c r="AW12" i="1"/>
  <c r="AX12" i="1" s="1"/>
  <c r="AW10" i="1"/>
  <c r="AX10" i="1" s="1"/>
  <c r="AW66" i="1"/>
  <c r="AX66" i="1" s="1"/>
  <c r="AW31" i="1"/>
  <c r="AX31" i="1" s="1"/>
  <c r="I2" i="30"/>
  <c r="AV36" i="1"/>
  <c r="AW36" i="1" s="1"/>
  <c r="AX36" i="1" s="1"/>
  <c r="AY36" i="1" s="1"/>
  <c r="AW76" i="1"/>
  <c r="AX76" i="1" s="1"/>
  <c r="AW21" i="1"/>
  <c r="AX21" i="1" s="1"/>
  <c r="AW75" i="1"/>
  <c r="AX75" i="1" s="1"/>
  <c r="AW87" i="1"/>
  <c r="AX87" i="1" s="1"/>
  <c r="AW78" i="1"/>
  <c r="AX78" i="1" s="1"/>
  <c r="AY78" i="1" s="1"/>
  <c r="AW50" i="1"/>
  <c r="AX50" i="1" s="1"/>
  <c r="AW94" i="1"/>
  <c r="AX94" i="1" s="1"/>
  <c r="AY94" i="1" s="1"/>
  <c r="AW168" i="1"/>
  <c r="AX168" i="1" s="1"/>
  <c r="AY168" i="1" s="1"/>
  <c r="AW170" i="1"/>
  <c r="AX170" i="1" s="1"/>
  <c r="AW68" i="1"/>
  <c r="AX68" i="1" s="1"/>
  <c r="AY68" i="1" s="1"/>
  <c r="AW86" i="1"/>
  <c r="AX86" i="1" s="1"/>
  <c r="AY86" i="1" s="1"/>
  <c r="AW159" i="1"/>
  <c r="AX159" i="1" s="1"/>
  <c r="AW130" i="1"/>
  <c r="AX130" i="1" s="1"/>
  <c r="AY130" i="1" s="1"/>
  <c r="AW131" i="1"/>
  <c r="AX131" i="1" s="1"/>
  <c r="AW79" i="1"/>
  <c r="AX79" i="1" s="1"/>
  <c r="AY79" i="1" s="1"/>
  <c r="AW109" i="1"/>
  <c r="AX109" i="1" s="1"/>
  <c r="AW169" i="1"/>
  <c r="AX169" i="1" s="1"/>
  <c r="AW42" i="1"/>
  <c r="AX42" i="1" s="1"/>
  <c r="AY42" i="1" s="1"/>
  <c r="AW100" i="1"/>
  <c r="AX100" i="1" s="1"/>
  <c r="AW62" i="1"/>
  <c r="AX62" i="1" s="1"/>
  <c r="AW128" i="1"/>
  <c r="AX128" i="1" s="1"/>
  <c r="AY128" i="1" s="1"/>
  <c r="AW122" i="1"/>
  <c r="AX122" i="1" s="1"/>
  <c r="AW140" i="1"/>
  <c r="AX140" i="1" s="1"/>
  <c r="AW113" i="1"/>
  <c r="AX113" i="1" s="1"/>
  <c r="AY113" i="1" s="1"/>
  <c r="AW82" i="1"/>
  <c r="AX82" i="1" s="1"/>
  <c r="AY82" i="1" s="1"/>
  <c r="AW161" i="1"/>
  <c r="AX161" i="1" s="1"/>
  <c r="AW117" i="1"/>
  <c r="AX117" i="1" s="1"/>
  <c r="AY117" i="1" s="1"/>
  <c r="AW156" i="1"/>
  <c r="AX156" i="1" s="1"/>
  <c r="AW110" i="1"/>
  <c r="AX110" i="1" s="1"/>
  <c r="AW101" i="1"/>
  <c r="AX101" i="1" s="1"/>
  <c r="AW167" i="1"/>
  <c r="AX167" i="1" s="1"/>
  <c r="AY167" i="1" s="1"/>
  <c r="AW98" i="1"/>
  <c r="AX98" i="1" s="1"/>
  <c r="AY98" i="1" s="1"/>
  <c r="AW32" i="1"/>
  <c r="AX32" i="1" s="1"/>
  <c r="AW160" i="1"/>
  <c r="AX160" i="1" s="1"/>
  <c r="AW73" i="1"/>
  <c r="AX73" i="1" s="1"/>
  <c r="AY73" i="1" s="1"/>
  <c r="AW105" i="1"/>
  <c r="AX105" i="1" s="1"/>
  <c r="AY105" i="1" s="1"/>
  <c r="AW83" i="1"/>
  <c r="AX83" i="1" s="1"/>
  <c r="AY83" i="1" s="1"/>
  <c r="AW104" i="1"/>
  <c r="AX104" i="1" s="1"/>
  <c r="AY104" i="1" s="1"/>
  <c r="AW153" i="1"/>
  <c r="AX153" i="1" s="1"/>
  <c r="AY153" i="1" s="1"/>
  <c r="AW155" i="1"/>
  <c r="AX155" i="1" s="1"/>
  <c r="AW59" i="1"/>
  <c r="AX59" i="1" s="1"/>
  <c r="AW158" i="1"/>
  <c r="AX158" i="1" s="1"/>
  <c r="AY158" i="1" s="1"/>
  <c r="AW33" i="1"/>
  <c r="AX33" i="1" s="1"/>
  <c r="AY33" i="1" s="1"/>
  <c r="AW132" i="1"/>
  <c r="AX132" i="1" s="1"/>
  <c r="AW84" i="1"/>
  <c r="AX84" i="1" s="1"/>
  <c r="AW107" i="1"/>
  <c r="AX107" i="1" s="1"/>
  <c r="AW126" i="1"/>
  <c r="AX126" i="1" s="1"/>
  <c r="AW55" i="1"/>
  <c r="AX55" i="1" s="1"/>
  <c r="AY55" i="1" s="1"/>
  <c r="AW154" i="1"/>
  <c r="AX154" i="1" s="1"/>
  <c r="AW65" i="1"/>
  <c r="AX65" i="1" s="1"/>
  <c r="AY65" i="1" s="1"/>
  <c r="AW39" i="1"/>
  <c r="AX39" i="1" s="1"/>
  <c r="AY39" i="1" s="1"/>
  <c r="AW165" i="1"/>
  <c r="AX165" i="1" s="1"/>
  <c r="AW91" i="1"/>
  <c r="AX91" i="1" s="1"/>
  <c r="AW137" i="1"/>
  <c r="AX137" i="1" s="1"/>
  <c r="AW116" i="1"/>
  <c r="AX116" i="1" s="1"/>
  <c r="AW129" i="1"/>
  <c r="AX129" i="1" s="1"/>
  <c r="AW127" i="1"/>
  <c r="AX127" i="1" s="1"/>
  <c r="AY127" i="1" s="1"/>
  <c r="AW34" i="1"/>
  <c r="AX34" i="1" s="1"/>
  <c r="AW38" i="1"/>
  <c r="AX38" i="1" s="1"/>
  <c r="AW90" i="1"/>
  <c r="AX90" i="1" s="1"/>
  <c r="AW125" i="1"/>
  <c r="AX125" i="1" s="1"/>
  <c r="AY125" i="1" s="1"/>
  <c r="AW48" i="1"/>
  <c r="AX48" i="1" s="1"/>
  <c r="AW35" i="1"/>
  <c r="AX35" i="1" s="1"/>
  <c r="AW69" i="1"/>
  <c r="AX69" i="1" s="1"/>
  <c r="AY69" i="1" s="1"/>
  <c r="AW152" i="1"/>
  <c r="AX152" i="1" s="1"/>
  <c r="AY152" i="1" s="1"/>
  <c r="AW89" i="1"/>
  <c r="AX89" i="1" s="1"/>
  <c r="AW141" i="1"/>
  <c r="AX141" i="1" s="1"/>
  <c r="AW120" i="1"/>
  <c r="AX120" i="1" s="1"/>
  <c r="AY120" i="1" s="1"/>
  <c r="AW49" i="1"/>
  <c r="AX49" i="1" s="1"/>
  <c r="AY49" i="1" s="1"/>
  <c r="AW60" i="1"/>
  <c r="AX60" i="1" s="1"/>
  <c r="AW23" i="1"/>
  <c r="AX23" i="1" s="1"/>
  <c r="AY23" i="1" s="1"/>
  <c r="I121" i="30"/>
  <c r="I10" i="30"/>
  <c r="I90" i="30"/>
  <c r="I5" i="30"/>
  <c r="N47" i="29"/>
  <c r="I8" i="30"/>
  <c r="I31" i="30"/>
  <c r="I86" i="30"/>
  <c r="I117" i="30"/>
  <c r="I68" i="30"/>
  <c r="I27" i="30"/>
  <c r="I63" i="30"/>
  <c r="I69" i="30"/>
  <c r="I30" i="30"/>
  <c r="I123" i="30"/>
  <c r="I74" i="30"/>
  <c r="I52" i="30"/>
  <c r="I105" i="30"/>
  <c r="I103" i="30"/>
  <c r="I58" i="30"/>
  <c r="I78" i="30"/>
  <c r="I56" i="30"/>
  <c r="I34" i="30"/>
  <c r="I128" i="30"/>
  <c r="N127" i="29"/>
  <c r="I19" i="30"/>
  <c r="I39" i="30"/>
  <c r="I91" i="30"/>
  <c r="I23" i="30"/>
  <c r="I61" i="30"/>
  <c r="I85" i="30"/>
  <c r="I13" i="30"/>
  <c r="I17" i="30"/>
  <c r="I53" i="30"/>
  <c r="I49" i="30"/>
  <c r="I62" i="30"/>
  <c r="I107" i="30"/>
  <c r="I12" i="30"/>
  <c r="I66" i="30"/>
  <c r="I73" i="30"/>
  <c r="I111" i="30"/>
  <c r="I45" i="30"/>
  <c r="I102" i="30"/>
  <c r="I28" i="30"/>
  <c r="I120" i="30"/>
  <c r="I36" i="30"/>
  <c r="K22" i="30"/>
  <c r="AQ77" i="1"/>
  <c r="I21" i="30"/>
  <c r="I94" i="30"/>
  <c r="K17" i="30"/>
  <c r="K21" i="30"/>
  <c r="I89" i="30"/>
  <c r="I80" i="30"/>
  <c r="I116" i="30"/>
  <c r="I109" i="30"/>
  <c r="I113" i="30"/>
  <c r="I18" i="30"/>
  <c r="I115" i="30"/>
  <c r="I6" i="30"/>
  <c r="I75" i="30"/>
  <c r="I24" i="30"/>
  <c r="K41" i="30"/>
  <c r="I20" i="30"/>
  <c r="K19" i="30"/>
  <c r="K43" i="30"/>
  <c r="K20" i="30"/>
  <c r="L42" i="30"/>
  <c r="K42" i="30"/>
  <c r="I108" i="30"/>
  <c r="K44" i="30"/>
  <c r="I14" i="30"/>
  <c r="I54" i="30"/>
  <c r="I50" i="30"/>
  <c r="I33" i="30"/>
  <c r="I11" i="30"/>
  <c r="I47" i="30"/>
  <c r="I46" i="30"/>
  <c r="I79" i="30"/>
  <c r="I32" i="30"/>
  <c r="I127" i="30"/>
  <c r="I96" i="30"/>
  <c r="I99" i="30"/>
  <c r="I38" i="30"/>
  <c r="I124" i="30"/>
  <c r="I48" i="30"/>
  <c r="I122" i="30"/>
  <c r="I92" i="30"/>
  <c r="I81" i="30"/>
  <c r="I59" i="30"/>
  <c r="I67" i="30"/>
  <c r="I125" i="30"/>
  <c r="I95" i="30"/>
  <c r="I101" i="30"/>
  <c r="I35" i="30"/>
  <c r="I70" i="30"/>
  <c r="I7" i="30"/>
  <c r="I9" i="30"/>
  <c r="N46" i="29"/>
  <c r="I88" i="30"/>
  <c r="I98" i="30"/>
  <c r="I72" i="30"/>
  <c r="I76" i="30"/>
  <c r="I4" i="30"/>
  <c r="I3" i="30"/>
  <c r="I26" i="30"/>
  <c r="I126" i="30"/>
  <c r="K127" i="30"/>
  <c r="K117" i="30"/>
  <c r="K82" i="30"/>
  <c r="K49" i="30"/>
  <c r="K76" i="30"/>
  <c r="K34" i="30"/>
  <c r="K45" i="30"/>
  <c r="K90" i="30"/>
  <c r="K75" i="30"/>
  <c r="K65" i="30"/>
  <c r="K48" i="30"/>
  <c r="K91" i="30"/>
  <c r="K83" i="30"/>
  <c r="K125" i="30"/>
  <c r="K14" i="30"/>
  <c r="K88" i="30"/>
  <c r="K116" i="30"/>
  <c r="K129" i="30"/>
  <c r="K97" i="30"/>
  <c r="K74" i="30"/>
  <c r="K39" i="30"/>
  <c r="K63" i="30"/>
  <c r="K115" i="30"/>
  <c r="K59" i="30"/>
  <c r="K87" i="30"/>
  <c r="K53" i="30"/>
  <c r="K101" i="30"/>
  <c r="K35" i="30"/>
  <c r="K72" i="30"/>
  <c r="K118" i="30"/>
  <c r="K28" i="30"/>
  <c r="K84" i="30"/>
  <c r="K89" i="30"/>
  <c r="K52" i="30"/>
  <c r="K102" i="30"/>
  <c r="K66" i="30"/>
  <c r="K94" i="30"/>
  <c r="K70" i="30"/>
  <c r="K124" i="30"/>
  <c r="K128" i="30"/>
  <c r="K96" i="30"/>
  <c r="K77" i="30"/>
  <c r="K47" i="30"/>
  <c r="K98" i="30"/>
  <c r="K80" i="30"/>
  <c r="K93" i="30"/>
  <c r="K60" i="30"/>
  <c r="K56" i="30"/>
  <c r="K12" i="30"/>
  <c r="K61" i="30"/>
  <c r="K36" i="30"/>
  <c r="K50" i="30"/>
  <c r="K81" i="30"/>
  <c r="K126" i="30"/>
  <c r="K57" i="30"/>
  <c r="K79" i="30"/>
  <c r="K54" i="30"/>
  <c r="K119" i="30"/>
  <c r="K120" i="30"/>
  <c r="K27" i="30"/>
  <c r="K86" i="30"/>
  <c r="K58" i="30"/>
  <c r="K62" i="30"/>
  <c r="K15" i="30"/>
  <c r="K55" i="30"/>
  <c r="K123" i="30"/>
  <c r="K100" i="30"/>
  <c r="K13" i="30"/>
  <c r="K92" i="30"/>
  <c r="K122" i="30"/>
  <c r="K99" i="30"/>
  <c r="K40" i="30"/>
  <c r="K71" i="30"/>
  <c r="K121" i="30"/>
  <c r="K78" i="30"/>
  <c r="K85" i="30"/>
  <c r="K130" i="30"/>
  <c r="K73" i="30"/>
  <c r="K64" i="30"/>
  <c r="K46" i="30"/>
  <c r="K16" i="30"/>
  <c r="K38" i="30"/>
  <c r="K95" i="30"/>
  <c r="K37" i="30"/>
  <c r="K8" i="30"/>
  <c r="K24" i="30"/>
  <c r="L5" i="30"/>
  <c r="K5" i="30"/>
  <c r="K10" i="30"/>
  <c r="K25" i="30"/>
  <c r="K107" i="30"/>
  <c r="K114" i="30"/>
  <c r="AQ123" i="1"/>
  <c r="K26" i="30"/>
  <c r="K33" i="30"/>
  <c r="K112" i="30"/>
  <c r="L106" i="30"/>
  <c r="K106" i="30"/>
  <c r="K32" i="30"/>
  <c r="K68" i="30"/>
  <c r="K110" i="30"/>
  <c r="L109" i="30"/>
  <c r="K109" i="30"/>
  <c r="L30" i="30"/>
  <c r="K30" i="30"/>
  <c r="K31" i="30"/>
  <c r="K67" i="30"/>
  <c r="K4" i="30"/>
  <c r="K3" i="30"/>
  <c r="L11" i="30"/>
  <c r="K11" i="30"/>
  <c r="K9" i="30"/>
  <c r="N2" i="29"/>
  <c r="K69" i="30"/>
  <c r="K113" i="30"/>
  <c r="L105" i="30"/>
  <c r="K105" i="30"/>
  <c r="L111" i="30"/>
  <c r="K111" i="30"/>
  <c r="K108" i="30"/>
  <c r="AQ102" i="1"/>
  <c r="K29" i="30"/>
  <c r="K23" i="30"/>
  <c r="K7" i="30"/>
  <c r="AQ134" i="1"/>
  <c r="K104" i="30"/>
  <c r="AQ165" i="1"/>
  <c r="K6" i="30"/>
  <c r="K103" i="30"/>
  <c r="H112" i="30"/>
  <c r="AQ44" i="1"/>
  <c r="H8" i="30"/>
  <c r="AQ59" i="1"/>
  <c r="H108" i="30"/>
  <c r="AQ43" i="1"/>
  <c r="H78" i="30"/>
  <c r="AQ78" i="1"/>
  <c r="H110" i="30"/>
  <c r="J110" i="30" s="1"/>
  <c r="AQ42" i="1"/>
  <c r="H67" i="30"/>
  <c r="AQ55" i="1"/>
  <c r="H83" i="30"/>
  <c r="AQ76" i="1"/>
  <c r="H29" i="30"/>
  <c r="AQ61" i="1"/>
  <c r="H27" i="30"/>
  <c r="J27" i="30" s="1"/>
  <c r="AQ62" i="1"/>
  <c r="H87" i="30"/>
  <c r="AQ90" i="1"/>
  <c r="H28" i="30"/>
  <c r="AQ63" i="1"/>
  <c r="H74" i="30"/>
  <c r="AQ71" i="1"/>
  <c r="H9" i="30"/>
  <c r="AQ60" i="1"/>
  <c r="H4" i="30"/>
  <c r="AQ39" i="1"/>
  <c r="H3" i="30"/>
  <c r="AQ38" i="1"/>
  <c r="H76" i="30"/>
  <c r="AQ70" i="1"/>
  <c r="H10" i="30"/>
  <c r="J10" i="30" s="1"/>
  <c r="AQ58" i="1"/>
  <c r="J80" i="29"/>
  <c r="O80" i="29" s="1"/>
  <c r="P80" i="29" s="1"/>
  <c r="H80" i="30"/>
  <c r="J80" i="30" s="1"/>
  <c r="N42" i="29"/>
  <c r="I42" i="30"/>
  <c r="N112" i="29"/>
  <c r="I106" i="30"/>
  <c r="N36" i="29"/>
  <c r="I40" i="30"/>
  <c r="N78" i="29"/>
  <c r="I77" i="30"/>
  <c r="N81" i="29"/>
  <c r="I83" i="30"/>
  <c r="N51" i="29"/>
  <c r="I51" i="30"/>
  <c r="N17" i="29"/>
  <c r="I22" i="30"/>
  <c r="N15" i="29"/>
  <c r="N43" i="29"/>
  <c r="G33" i="31" s="1"/>
  <c r="I43" i="30"/>
  <c r="N56" i="29"/>
  <c r="I57" i="30"/>
  <c r="N33" i="29"/>
  <c r="I104" i="30"/>
  <c r="N9" i="29"/>
  <c r="I29" i="30"/>
  <c r="N72" i="29"/>
  <c r="I71" i="30"/>
  <c r="N79" i="29"/>
  <c r="I82" i="30"/>
  <c r="N117" i="29"/>
  <c r="I118" i="30"/>
  <c r="N53" i="29"/>
  <c r="I55" i="30"/>
  <c r="N44" i="29"/>
  <c r="I44" i="30"/>
  <c r="N38" i="29"/>
  <c r="I37" i="30"/>
  <c r="N24" i="29"/>
  <c r="I25" i="30"/>
  <c r="N59" i="29"/>
  <c r="I60" i="30"/>
  <c r="N99" i="29"/>
  <c r="I100" i="30"/>
  <c r="N84" i="29"/>
  <c r="I87" i="30"/>
  <c r="N62" i="29"/>
  <c r="I64" i="30"/>
  <c r="N41" i="29"/>
  <c r="I41" i="30"/>
  <c r="N108" i="29"/>
  <c r="I112" i="30"/>
  <c r="N96" i="29"/>
  <c r="I97" i="30"/>
  <c r="N120" i="29"/>
  <c r="I119" i="30"/>
  <c r="N63" i="29"/>
  <c r="I65" i="30"/>
  <c r="N107" i="29"/>
  <c r="I114" i="30"/>
  <c r="N25" i="29"/>
  <c r="N29" i="29"/>
  <c r="G24" i="31" s="1"/>
  <c r="N26" i="29"/>
  <c r="N70" i="29"/>
  <c r="N5" i="29"/>
  <c r="N88" i="29"/>
  <c r="N106" i="29"/>
  <c r="N93" i="29"/>
  <c r="N89" i="29"/>
  <c r="N18" i="29"/>
  <c r="N31" i="29"/>
  <c r="N12" i="29"/>
  <c r="N20" i="29"/>
  <c r="N58" i="29"/>
  <c r="N75" i="29"/>
  <c r="N32" i="29"/>
  <c r="N125" i="29"/>
  <c r="N94" i="29"/>
  <c r="N16" i="29"/>
  <c r="N14" i="29"/>
  <c r="N92" i="29"/>
  <c r="N11" i="29"/>
  <c r="N110" i="29"/>
  <c r="N123" i="29"/>
  <c r="N13" i="29"/>
  <c r="N116" i="29"/>
  <c r="N83" i="29"/>
  <c r="N109" i="29"/>
  <c r="N45" i="29"/>
  <c r="N37" i="29"/>
  <c r="N39" i="29"/>
  <c r="N7" i="29"/>
  <c r="N19" i="29"/>
  <c r="N35" i="29"/>
  <c r="N57" i="29"/>
  <c r="N60" i="29"/>
  <c r="N87" i="29"/>
  <c r="N86" i="29"/>
  <c r="N10" i="29"/>
  <c r="N50" i="29"/>
  <c r="N77" i="29"/>
  <c r="N100" i="29"/>
  <c r="N64" i="29"/>
  <c r="N54" i="29"/>
  <c r="N119" i="29"/>
  <c r="N104" i="29"/>
  <c r="N103" i="29"/>
  <c r="N21" i="29"/>
  <c r="N122" i="29"/>
  <c r="N90" i="29"/>
  <c r="N91" i="29"/>
  <c r="N61" i="29"/>
  <c r="N97" i="29"/>
  <c r="N80" i="29"/>
  <c r="N85" i="29"/>
  <c r="N30" i="29"/>
  <c r="G50" i="31" s="1"/>
  <c r="N40" i="29"/>
  <c r="N76" i="29"/>
  <c r="N74" i="29"/>
  <c r="N22" i="29"/>
  <c r="N34" i="29"/>
  <c r="N114" i="29"/>
  <c r="N113" i="29"/>
  <c r="N3" i="29"/>
  <c r="N4" i="29"/>
  <c r="N73" i="29"/>
  <c r="N128" i="29"/>
  <c r="N69" i="29"/>
  <c r="N67" i="29"/>
  <c r="N105" i="29"/>
  <c r="N118" i="29"/>
  <c r="N71" i="29"/>
  <c r="N6" i="29"/>
  <c r="N49" i="29"/>
  <c r="N68" i="29"/>
  <c r="N23" i="29"/>
  <c r="N65" i="29"/>
  <c r="N82" i="29"/>
  <c r="N126" i="29"/>
  <c r="N27" i="29"/>
  <c r="G20" i="31" s="1"/>
  <c r="N28" i="29"/>
  <c r="N55" i="29"/>
  <c r="N95" i="29"/>
  <c r="N111" i="29"/>
  <c r="N101" i="29"/>
  <c r="N102" i="29"/>
  <c r="N8" i="29"/>
  <c r="J76" i="29"/>
  <c r="O76" i="29" s="1"/>
  <c r="P76" i="29" s="1"/>
  <c r="N98" i="29"/>
  <c r="N48" i="29"/>
  <c r="N124" i="29"/>
  <c r="N66" i="29"/>
  <c r="N121" i="29"/>
  <c r="J112" i="29"/>
  <c r="O112" i="29" s="1"/>
  <c r="P112" i="29" s="1"/>
  <c r="J8" i="29"/>
  <c r="O8" i="29" s="1"/>
  <c r="P8" i="29" s="1"/>
  <c r="J108" i="29"/>
  <c r="O108" i="29" s="1"/>
  <c r="P108" i="29" s="1"/>
  <c r="J78" i="29"/>
  <c r="O78" i="29" s="1"/>
  <c r="P78" i="29" s="1"/>
  <c r="J110" i="29"/>
  <c r="O110" i="29" s="1"/>
  <c r="P110" i="29" s="1"/>
  <c r="J67" i="29"/>
  <c r="O67" i="29" s="1"/>
  <c r="P67" i="29" s="1"/>
  <c r="J29" i="29"/>
  <c r="F23" i="31" s="1"/>
  <c r="J83" i="29"/>
  <c r="O83" i="29" s="1"/>
  <c r="P83" i="29" s="1"/>
  <c r="N130" i="29"/>
  <c r="G85" i="31" s="1"/>
  <c r="N52" i="29"/>
  <c r="J3" i="29"/>
  <c r="O3" i="29" s="1"/>
  <c r="P3" i="29" s="1"/>
  <c r="J27" i="29"/>
  <c r="J87" i="29"/>
  <c r="O87" i="29" s="1"/>
  <c r="P87" i="29" s="1"/>
  <c r="J28" i="29"/>
  <c r="O28" i="29" s="1"/>
  <c r="P28" i="29" s="1"/>
  <c r="J74" i="29"/>
  <c r="O74" i="29" s="1"/>
  <c r="P74" i="29" s="1"/>
  <c r="N115" i="29"/>
  <c r="J10" i="29"/>
  <c r="O10" i="29" s="1"/>
  <c r="P10" i="29" s="1"/>
  <c r="J9" i="29"/>
  <c r="O9" i="29" s="1"/>
  <c r="P9" i="29" s="1"/>
  <c r="J4" i="29"/>
  <c r="O4" i="29" s="1"/>
  <c r="P4" i="29" s="1"/>
  <c r="N129" i="29"/>
  <c r="P28" i="6"/>
  <c r="S28" i="1" s="1"/>
  <c r="L19" i="30" l="1"/>
  <c r="AY26" i="1"/>
  <c r="L20" i="30"/>
  <c r="K51" i="30"/>
  <c r="U8" i="30" s="1"/>
  <c r="AY25" i="1"/>
  <c r="L26" i="30"/>
  <c r="AY28" i="1"/>
  <c r="AY30" i="1"/>
  <c r="N19" i="30" s="1"/>
  <c r="L8" i="30"/>
  <c r="AY12" i="1"/>
  <c r="AY10" i="1"/>
  <c r="L84" i="30"/>
  <c r="L110" i="30"/>
  <c r="O27" i="29"/>
  <c r="P27" i="29" s="1"/>
  <c r="F20" i="31"/>
  <c r="L23" i="30"/>
  <c r="G32" i="31"/>
  <c r="L116" i="30"/>
  <c r="AY34" i="1"/>
  <c r="L103" i="30"/>
  <c r="L4" i="30"/>
  <c r="AY137" i="1"/>
  <c r="AY50" i="1"/>
  <c r="AY87" i="1"/>
  <c r="AY91" i="1"/>
  <c r="AY31" i="1"/>
  <c r="AY141" i="1"/>
  <c r="AY170" i="1"/>
  <c r="L87" i="30"/>
  <c r="AY66" i="1"/>
  <c r="AY110" i="1"/>
  <c r="AY32" i="1"/>
  <c r="N23" i="30" s="1"/>
  <c r="AY109" i="1"/>
  <c r="AY107" i="1"/>
  <c r="AY156" i="1"/>
  <c r="AY129" i="1"/>
  <c r="AY100" i="1"/>
  <c r="AY89" i="1"/>
  <c r="N84" i="30" s="1"/>
  <c r="AY59" i="1"/>
  <c r="AY169" i="1"/>
  <c r="AY35" i="1"/>
  <c r="AY161" i="1"/>
  <c r="AY131" i="1"/>
  <c r="AY75" i="1"/>
  <c r="AY76" i="1"/>
  <c r="AY126" i="1"/>
  <c r="AY140" i="1"/>
  <c r="AY160" i="1"/>
  <c r="AY132" i="1"/>
  <c r="AY116" i="1"/>
  <c r="AY84" i="1"/>
  <c r="AY48" i="1"/>
  <c r="AY165" i="1"/>
  <c r="AY122" i="1"/>
  <c r="AY159" i="1"/>
  <c r="AY21" i="1"/>
  <c r="AY60" i="1"/>
  <c r="AY90" i="1"/>
  <c r="AY155" i="1"/>
  <c r="AY101" i="1"/>
  <c r="AY62" i="1"/>
  <c r="AY38" i="1"/>
  <c r="AY154" i="1"/>
  <c r="S15" i="30"/>
  <c r="G70" i="31"/>
  <c r="G69" i="31"/>
  <c r="O29" i="29"/>
  <c r="P29" i="29" s="1"/>
  <c r="F24" i="31"/>
  <c r="J8" i="30"/>
  <c r="J74" i="30"/>
  <c r="J28" i="30"/>
  <c r="G35" i="31"/>
  <c r="G34" i="31"/>
  <c r="J78" i="30"/>
  <c r="J9" i="30"/>
  <c r="S3" i="30"/>
  <c r="J4" i="30"/>
  <c r="J3" i="30"/>
  <c r="S2" i="30"/>
  <c r="J108" i="30"/>
  <c r="S11" i="30"/>
  <c r="N42" i="30"/>
  <c r="L51" i="30"/>
  <c r="U7" i="30"/>
  <c r="L41" i="30"/>
  <c r="L21" i="30"/>
  <c r="M17" i="30"/>
  <c r="L17" i="30"/>
  <c r="L43" i="30"/>
  <c r="L18" i="30"/>
  <c r="K18" i="30"/>
  <c r="U4" i="30" s="1"/>
  <c r="L22" i="30"/>
  <c r="L44" i="30"/>
  <c r="S8" i="30"/>
  <c r="J76" i="30"/>
  <c r="J67" i="30"/>
  <c r="N30" i="30"/>
  <c r="J83" i="30"/>
  <c r="M116" i="30"/>
  <c r="J87" i="30"/>
  <c r="N103" i="30"/>
  <c r="M109" i="30"/>
  <c r="U3" i="30"/>
  <c r="N11" i="30"/>
  <c r="M5" i="30"/>
  <c r="U5" i="30"/>
  <c r="U13" i="30"/>
  <c r="U14" i="30"/>
  <c r="U6" i="30"/>
  <c r="J112" i="30"/>
  <c r="U11" i="30"/>
  <c r="U15" i="30"/>
  <c r="N111" i="30"/>
  <c r="N110" i="30"/>
  <c r="M106" i="30"/>
  <c r="M26" i="30"/>
  <c r="U10" i="30"/>
  <c r="U12" i="30"/>
  <c r="U9" i="30"/>
  <c r="N105" i="30"/>
  <c r="N4" i="30"/>
  <c r="M8" i="30"/>
  <c r="M87" i="30"/>
  <c r="L6" i="30"/>
  <c r="L104" i="30"/>
  <c r="L7" i="30"/>
  <c r="L29" i="30"/>
  <c r="L108" i="30"/>
  <c r="L113" i="30"/>
  <c r="L69" i="30"/>
  <c r="L2" i="30"/>
  <c r="K2" i="30"/>
  <c r="U2" i="30" s="1"/>
  <c r="L9" i="30"/>
  <c r="L3" i="30"/>
  <c r="L67" i="30"/>
  <c r="L31" i="30"/>
  <c r="L68" i="30"/>
  <c r="L32" i="30"/>
  <c r="M112" i="30"/>
  <c r="L112" i="30"/>
  <c r="L33" i="30"/>
  <c r="L114" i="30"/>
  <c r="L107" i="30"/>
  <c r="L25" i="30"/>
  <c r="L10" i="30"/>
  <c r="L24" i="30"/>
  <c r="L37" i="30"/>
  <c r="L95" i="30"/>
  <c r="L38" i="30"/>
  <c r="L16" i="30"/>
  <c r="L46" i="30"/>
  <c r="L64" i="30"/>
  <c r="M73" i="30"/>
  <c r="L73" i="30"/>
  <c r="L130" i="30"/>
  <c r="L85" i="30"/>
  <c r="L78" i="30"/>
  <c r="L121" i="30"/>
  <c r="L71" i="30"/>
  <c r="M40" i="30"/>
  <c r="L40" i="30"/>
  <c r="L99" i="30"/>
  <c r="L122" i="30"/>
  <c r="L92" i="30"/>
  <c r="L13" i="30"/>
  <c r="L100" i="30"/>
  <c r="L123" i="30"/>
  <c r="M55" i="30"/>
  <c r="L55" i="30"/>
  <c r="L15" i="30"/>
  <c r="L62" i="30"/>
  <c r="L58" i="30"/>
  <c r="L86" i="30"/>
  <c r="L27" i="30"/>
  <c r="M120" i="30"/>
  <c r="L120" i="30"/>
  <c r="L119" i="30"/>
  <c r="L54" i="30"/>
  <c r="L79" i="30"/>
  <c r="L57" i="30"/>
  <c r="L126" i="30"/>
  <c r="M81" i="30"/>
  <c r="L81" i="30"/>
  <c r="L50" i="30"/>
  <c r="M36" i="30"/>
  <c r="L36" i="30"/>
  <c r="L61" i="30"/>
  <c r="L12" i="30"/>
  <c r="L56" i="30"/>
  <c r="L60" i="30"/>
  <c r="M93" i="30"/>
  <c r="L93" i="30"/>
  <c r="L80" i="30"/>
  <c r="L98" i="30"/>
  <c r="L47" i="30"/>
  <c r="L77" i="30"/>
  <c r="L96" i="30"/>
  <c r="L128" i="30"/>
  <c r="L124" i="30"/>
  <c r="L70" i="30"/>
  <c r="L94" i="30"/>
  <c r="L66" i="30"/>
  <c r="L102" i="30"/>
  <c r="L52" i="30"/>
  <c r="L89" i="30"/>
  <c r="L28" i="30"/>
  <c r="L118" i="30"/>
  <c r="L72" i="30"/>
  <c r="M35" i="30"/>
  <c r="L35" i="30"/>
  <c r="L101" i="30"/>
  <c r="L53" i="30"/>
  <c r="L59" i="30"/>
  <c r="L115" i="30"/>
  <c r="L63" i="30"/>
  <c r="L39" i="30"/>
  <c r="L74" i="30"/>
  <c r="M97" i="30"/>
  <c r="L97" i="30"/>
  <c r="L129" i="30"/>
  <c r="L88" i="30"/>
  <c r="M14" i="30"/>
  <c r="L14" i="30"/>
  <c r="L125" i="30"/>
  <c r="M83" i="30"/>
  <c r="L83" i="30"/>
  <c r="L91" i="30"/>
  <c r="L48" i="30"/>
  <c r="M65" i="30"/>
  <c r="L65" i="30"/>
  <c r="L75" i="30"/>
  <c r="L90" i="30"/>
  <c r="M45" i="30"/>
  <c r="L45" i="30"/>
  <c r="L34" i="30"/>
  <c r="L76" i="30"/>
  <c r="L49" i="30"/>
  <c r="L82" i="30"/>
  <c r="L117" i="30"/>
  <c r="L127" i="30"/>
  <c r="J29" i="30"/>
  <c r="H20" i="30"/>
  <c r="J20" i="30" s="1"/>
  <c r="AQ28" i="1"/>
  <c r="S7" i="30"/>
  <c r="S5" i="30"/>
  <c r="S9" i="30"/>
  <c r="S6" i="30"/>
  <c r="S10" i="30"/>
  <c r="S4" i="30"/>
  <c r="S12" i="30"/>
  <c r="S13" i="30"/>
  <c r="S14" i="30"/>
  <c r="J20" i="29"/>
  <c r="O20" i="29" s="1"/>
  <c r="P20" i="29" s="1"/>
  <c r="P171" i="6"/>
  <c r="S169" i="1" s="1"/>
  <c r="M42" i="30" l="1"/>
  <c r="M19" i="30"/>
  <c r="N43" i="30"/>
  <c r="M43" i="30"/>
  <c r="V4" i="30"/>
  <c r="N20" i="30"/>
  <c r="M20" i="30"/>
  <c r="M44" i="30"/>
  <c r="N44" i="30"/>
  <c r="M21" i="30"/>
  <c r="N21" i="30"/>
  <c r="N22" i="30"/>
  <c r="M22" i="30"/>
  <c r="V7" i="30"/>
  <c r="M41" i="30"/>
  <c r="N41" i="30"/>
  <c r="N17" i="30"/>
  <c r="N5" i="30"/>
  <c r="M4" i="30"/>
  <c r="M84" i="30"/>
  <c r="N116" i="30"/>
  <c r="M30" i="30"/>
  <c r="M111" i="30"/>
  <c r="N26" i="30"/>
  <c r="M103" i="30"/>
  <c r="N8" i="30"/>
  <c r="M110" i="30"/>
  <c r="N109" i="30"/>
  <c r="M11" i="30"/>
  <c r="M23" i="30"/>
  <c r="M105" i="30"/>
  <c r="V9" i="30"/>
  <c r="V5" i="30"/>
  <c r="V10" i="30"/>
  <c r="V15" i="30"/>
  <c r="V8" i="30"/>
  <c r="V3" i="30"/>
  <c r="V11" i="30"/>
  <c r="M48" i="30"/>
  <c r="N48" i="30"/>
  <c r="M59" i="30"/>
  <c r="N59" i="30"/>
  <c r="M85" i="30"/>
  <c r="N85" i="30"/>
  <c r="M46" i="30"/>
  <c r="N46" i="30"/>
  <c r="N106" i="30"/>
  <c r="N2" i="30"/>
  <c r="N55" i="30"/>
  <c r="V2" i="30"/>
  <c r="M6" i="30"/>
  <c r="N6" i="30"/>
  <c r="N45" i="30"/>
  <c r="M90" i="30"/>
  <c r="N90" i="30"/>
  <c r="M77" i="30"/>
  <c r="N77" i="30"/>
  <c r="M58" i="30"/>
  <c r="N58" i="30"/>
  <c r="M123" i="30"/>
  <c r="N123" i="30"/>
  <c r="M71" i="30"/>
  <c r="N71" i="30"/>
  <c r="M130" i="30"/>
  <c r="N130" i="30"/>
  <c r="M32" i="30"/>
  <c r="N32" i="30"/>
  <c r="N83" i="30"/>
  <c r="N14" i="30"/>
  <c r="V13" i="30"/>
  <c r="M108" i="30"/>
  <c r="N108" i="30"/>
  <c r="N112" i="30"/>
  <c r="N97" i="30"/>
  <c r="M60" i="30"/>
  <c r="N60" i="30"/>
  <c r="M100" i="30"/>
  <c r="N100" i="30"/>
  <c r="M121" i="30"/>
  <c r="N121" i="30"/>
  <c r="M107" i="30"/>
  <c r="N107" i="30"/>
  <c r="N87" i="30"/>
  <c r="N81" i="30"/>
  <c r="N36" i="30"/>
  <c r="V14" i="30"/>
  <c r="V12" i="30"/>
  <c r="M104" i="30"/>
  <c r="N104" i="30"/>
  <c r="N40" i="30"/>
  <c r="N73" i="30"/>
  <c r="M117" i="30"/>
  <c r="N117" i="30"/>
  <c r="M125" i="30"/>
  <c r="N125" i="30"/>
  <c r="M115" i="30"/>
  <c r="N115" i="30"/>
  <c r="M128" i="30"/>
  <c r="N128" i="30"/>
  <c r="M99" i="30"/>
  <c r="N99" i="30"/>
  <c r="M95" i="30"/>
  <c r="N95" i="30"/>
  <c r="N93" i="30"/>
  <c r="N120" i="30"/>
  <c r="V6" i="30"/>
  <c r="U16" i="30"/>
  <c r="N65" i="30"/>
  <c r="N35" i="30"/>
  <c r="N127" i="30"/>
  <c r="M127" i="30"/>
  <c r="N82" i="30"/>
  <c r="M82" i="30"/>
  <c r="N49" i="30"/>
  <c r="M49" i="30"/>
  <c r="N76" i="30"/>
  <c r="M76" i="30"/>
  <c r="N34" i="30"/>
  <c r="M34" i="30"/>
  <c r="N75" i="30"/>
  <c r="M75" i="30"/>
  <c r="N91" i="30"/>
  <c r="M91" i="30"/>
  <c r="N88" i="30"/>
  <c r="M88" i="30"/>
  <c r="N129" i="30"/>
  <c r="M129" i="30"/>
  <c r="N74" i="30"/>
  <c r="M74" i="30"/>
  <c r="N39" i="30"/>
  <c r="M39" i="30"/>
  <c r="N63" i="30"/>
  <c r="M63" i="30"/>
  <c r="N53" i="30"/>
  <c r="M53" i="30"/>
  <c r="N101" i="30"/>
  <c r="M101" i="30"/>
  <c r="N72" i="30"/>
  <c r="M72" i="30"/>
  <c r="N118" i="30"/>
  <c r="M118" i="30"/>
  <c r="N28" i="30"/>
  <c r="M28" i="30"/>
  <c r="N89" i="30"/>
  <c r="M89" i="30"/>
  <c r="N52" i="30"/>
  <c r="M52" i="30"/>
  <c r="N102" i="30"/>
  <c r="M102" i="30"/>
  <c r="N66" i="30"/>
  <c r="M66" i="30"/>
  <c r="N94" i="30"/>
  <c r="M94" i="30"/>
  <c r="N70" i="30"/>
  <c r="M70" i="30"/>
  <c r="N124" i="30"/>
  <c r="M124" i="30"/>
  <c r="N96" i="30"/>
  <c r="M96" i="30"/>
  <c r="N47" i="30"/>
  <c r="M47" i="30"/>
  <c r="N98" i="30"/>
  <c r="M98" i="30"/>
  <c r="N80" i="30"/>
  <c r="M80" i="30"/>
  <c r="N56" i="30"/>
  <c r="M56" i="30"/>
  <c r="N12" i="30"/>
  <c r="M12" i="30"/>
  <c r="N61" i="30"/>
  <c r="M61" i="30"/>
  <c r="N50" i="30"/>
  <c r="M50" i="30"/>
  <c r="N126" i="30"/>
  <c r="M126" i="30"/>
  <c r="N57" i="30"/>
  <c r="M57" i="30"/>
  <c r="N79" i="30"/>
  <c r="M79" i="30"/>
  <c r="N54" i="30"/>
  <c r="M54" i="30"/>
  <c r="N119" i="30"/>
  <c r="M119" i="30"/>
  <c r="N27" i="30"/>
  <c r="M27" i="30"/>
  <c r="N86" i="30"/>
  <c r="M86" i="30"/>
  <c r="N62" i="30"/>
  <c r="M62" i="30"/>
  <c r="N15" i="30"/>
  <c r="M15" i="30"/>
  <c r="N13" i="30"/>
  <c r="M13" i="30"/>
  <c r="N92" i="30"/>
  <c r="M92" i="30"/>
  <c r="N122" i="30"/>
  <c r="M122" i="30"/>
  <c r="N78" i="30"/>
  <c r="M78" i="30"/>
  <c r="N64" i="30"/>
  <c r="M64" i="30"/>
  <c r="N16" i="30"/>
  <c r="M16" i="30"/>
  <c r="N38" i="30"/>
  <c r="M38" i="30"/>
  <c r="N37" i="30"/>
  <c r="M37" i="30"/>
  <c r="N24" i="30"/>
  <c r="M24" i="30"/>
  <c r="N10" i="30"/>
  <c r="M10" i="30"/>
  <c r="N25" i="30"/>
  <c r="M25" i="30"/>
  <c r="N114" i="30"/>
  <c r="M114" i="30"/>
  <c r="N33" i="30"/>
  <c r="M33" i="30"/>
  <c r="N68" i="30"/>
  <c r="M68" i="30"/>
  <c r="N31" i="30"/>
  <c r="M31" i="30"/>
  <c r="N67" i="30"/>
  <c r="M67" i="30"/>
  <c r="N3" i="30"/>
  <c r="M3" i="30"/>
  <c r="N9" i="30"/>
  <c r="M9" i="30"/>
  <c r="N69" i="30"/>
  <c r="M69" i="30"/>
  <c r="N113" i="30"/>
  <c r="M113" i="30"/>
  <c r="N29" i="30"/>
  <c r="M29" i="30"/>
  <c r="N7" i="30"/>
  <c r="M7" i="30"/>
  <c r="H16" i="30"/>
  <c r="J16" i="30" s="1"/>
  <c r="AQ169" i="1"/>
  <c r="S16" i="30"/>
  <c r="J16" i="29"/>
  <c r="O16" i="29" s="1"/>
  <c r="P16" i="29" s="1"/>
  <c r="P138" i="6"/>
  <c r="S137" i="1" s="1"/>
  <c r="W7" i="30" l="1"/>
  <c r="N51" i="30"/>
  <c r="X8" i="30" s="1"/>
  <c r="M51" i="30"/>
  <c r="W8" i="30" s="1"/>
  <c r="N18" i="30"/>
  <c r="X4" i="30" s="1"/>
  <c r="M18" i="30"/>
  <c r="W4" i="30" s="1"/>
  <c r="X7" i="30"/>
  <c r="M2" i="30"/>
  <c r="W2" i="30" s="1"/>
  <c r="W11" i="30"/>
  <c r="X5" i="30"/>
  <c r="X2" i="30"/>
  <c r="X11" i="30"/>
  <c r="W10" i="30"/>
  <c r="W5" i="30"/>
  <c r="X3" i="30"/>
  <c r="V16" i="30"/>
  <c r="W12" i="30"/>
  <c r="X14" i="30"/>
  <c r="W13" i="30"/>
  <c r="W3" i="30"/>
  <c r="W14" i="30"/>
  <c r="X15" i="30"/>
  <c r="W9" i="30"/>
  <c r="W6" i="30"/>
  <c r="X10" i="30"/>
  <c r="W15" i="30"/>
  <c r="X9" i="30"/>
  <c r="X6" i="30"/>
  <c r="X12" i="30"/>
  <c r="X13" i="30"/>
  <c r="H45" i="30"/>
  <c r="J45" i="30" s="1"/>
  <c r="AQ137" i="1"/>
  <c r="J45" i="29"/>
  <c r="O45" i="29" s="1"/>
  <c r="P45" i="29" s="1"/>
  <c r="P11" i="6"/>
  <c r="S11" i="1" s="1"/>
  <c r="F7" i="5"/>
  <c r="F8" i="5"/>
  <c r="F9" i="5"/>
  <c r="F10" i="5"/>
  <c r="F11" i="5"/>
  <c r="F12" i="5"/>
  <c r="F13" i="5"/>
  <c r="F14" i="5"/>
  <c r="F15" i="5"/>
  <c r="F16" i="5"/>
  <c r="F17" i="5"/>
  <c r="F18" i="5"/>
  <c r="F19" i="5"/>
  <c r="F20" i="5"/>
  <c r="F21" i="5"/>
  <c r="F22" i="5"/>
  <c r="P172" i="6"/>
  <c r="P170" i="6"/>
  <c r="S168" i="1" s="1"/>
  <c r="P169" i="6"/>
  <c r="P167" i="6"/>
  <c r="P166" i="6"/>
  <c r="P165" i="6"/>
  <c r="P164" i="6"/>
  <c r="P163" i="6"/>
  <c r="P162" i="6"/>
  <c r="S160" i="1" s="1"/>
  <c r="P161" i="6"/>
  <c r="P160" i="6"/>
  <c r="P158" i="6"/>
  <c r="P157" i="6"/>
  <c r="P156" i="6"/>
  <c r="P155" i="6"/>
  <c r="P154" i="6"/>
  <c r="S152" i="1" s="1"/>
  <c r="P148" i="6"/>
  <c r="S147" i="1" s="1"/>
  <c r="P147" i="6"/>
  <c r="P145" i="6"/>
  <c r="P144" i="6"/>
  <c r="P143" i="6"/>
  <c r="P142" i="6"/>
  <c r="P141" i="6"/>
  <c r="P140" i="6"/>
  <c r="P139" i="6"/>
  <c r="P134" i="6"/>
  <c r="P133" i="6"/>
  <c r="S133" i="1" s="1"/>
  <c r="P132" i="6"/>
  <c r="S132" i="1" s="1"/>
  <c r="P131" i="6"/>
  <c r="S131" i="1" s="1"/>
  <c r="P130" i="6"/>
  <c r="S130" i="1" s="1"/>
  <c r="P129" i="6"/>
  <c r="S129" i="1" s="1"/>
  <c r="P128" i="6"/>
  <c r="S128" i="1" s="1"/>
  <c r="P127" i="6"/>
  <c r="S127" i="1" s="1"/>
  <c r="P126" i="6"/>
  <c r="S126" i="1" s="1"/>
  <c r="P125" i="6"/>
  <c r="S125" i="1" s="1"/>
  <c r="P123" i="6"/>
  <c r="P122" i="6"/>
  <c r="S122" i="1" s="1"/>
  <c r="P121" i="6"/>
  <c r="S121" i="1" s="1"/>
  <c r="P120" i="6"/>
  <c r="S120" i="1" s="1"/>
  <c r="P118" i="6"/>
  <c r="P117" i="6"/>
  <c r="S117" i="1" s="1"/>
  <c r="P116" i="6"/>
  <c r="S116" i="1" s="1"/>
  <c r="P115" i="6"/>
  <c r="S115" i="1" s="1"/>
  <c r="P114" i="6"/>
  <c r="S114" i="1" s="1"/>
  <c r="P113" i="6"/>
  <c r="S113" i="1" s="1"/>
  <c r="P112" i="6"/>
  <c r="S112" i="1" s="1"/>
  <c r="P111" i="6"/>
  <c r="S111" i="1" s="1"/>
  <c r="P110" i="6"/>
  <c r="S110" i="1" s="1"/>
  <c r="P109" i="6"/>
  <c r="S109" i="1" s="1"/>
  <c r="P108" i="6"/>
  <c r="S108" i="1" s="1"/>
  <c r="P107" i="6"/>
  <c r="S107" i="1" s="1"/>
  <c r="P106" i="6"/>
  <c r="S106" i="1" s="1"/>
  <c r="P105" i="6"/>
  <c r="S105" i="1" s="1"/>
  <c r="P104" i="6"/>
  <c r="S104" i="1" s="1"/>
  <c r="P102" i="6"/>
  <c r="P101" i="6"/>
  <c r="S101" i="1" s="1"/>
  <c r="P100" i="6"/>
  <c r="S100" i="1" s="1"/>
  <c r="P99" i="6"/>
  <c r="S99" i="1" s="1"/>
  <c r="P98" i="6"/>
  <c r="S98" i="1" s="1"/>
  <c r="P96" i="6"/>
  <c r="S96" i="1" s="1"/>
  <c r="P95" i="6"/>
  <c r="S95" i="1" s="1"/>
  <c r="P94" i="6"/>
  <c r="S94" i="1" s="1"/>
  <c r="P91" i="6"/>
  <c r="S91" i="1" s="1"/>
  <c r="P89" i="6"/>
  <c r="S89" i="1" s="1"/>
  <c r="P88" i="6"/>
  <c r="S88" i="1" s="1"/>
  <c r="P87" i="6"/>
  <c r="S87" i="1" s="1"/>
  <c r="P86" i="6"/>
  <c r="S86" i="1" s="1"/>
  <c r="P85" i="6"/>
  <c r="S85" i="1" s="1"/>
  <c r="P84" i="6"/>
  <c r="S84" i="1" s="1"/>
  <c r="P83" i="6"/>
  <c r="S83" i="1" s="1"/>
  <c r="P82" i="6"/>
  <c r="S82" i="1" s="1"/>
  <c r="P81" i="6"/>
  <c r="S81" i="1" s="1"/>
  <c r="P80" i="6"/>
  <c r="S80" i="1" s="1"/>
  <c r="P79" i="6"/>
  <c r="S79" i="1" s="1"/>
  <c r="P75" i="6"/>
  <c r="S75" i="1" s="1"/>
  <c r="P74" i="6"/>
  <c r="S74" i="1" s="1"/>
  <c r="P73" i="6"/>
  <c r="S73" i="1" s="1"/>
  <c r="P69" i="6"/>
  <c r="S69" i="1" s="1"/>
  <c r="P68" i="6"/>
  <c r="S68" i="1" s="1"/>
  <c r="P67" i="6"/>
  <c r="S67" i="1" s="1"/>
  <c r="P66" i="6"/>
  <c r="S66" i="1" s="1"/>
  <c r="P65" i="6"/>
  <c r="S65" i="1" s="1"/>
  <c r="P57" i="6"/>
  <c r="S57" i="1" s="1"/>
  <c r="P56" i="6"/>
  <c r="S56" i="1" s="1"/>
  <c r="P54" i="6"/>
  <c r="S54" i="1" s="1"/>
  <c r="P53" i="6"/>
  <c r="S53" i="1" s="1"/>
  <c r="P50" i="6"/>
  <c r="S50" i="1" s="1"/>
  <c r="P49" i="6"/>
  <c r="S49" i="1" s="1"/>
  <c r="P48" i="6"/>
  <c r="S48" i="1" s="1"/>
  <c r="P47" i="6"/>
  <c r="S47" i="1" s="1"/>
  <c r="P46" i="6"/>
  <c r="S46" i="1" s="1"/>
  <c r="P45" i="6"/>
  <c r="S45" i="1" s="1"/>
  <c r="P41" i="6"/>
  <c r="S41" i="1" s="1"/>
  <c r="P37" i="6"/>
  <c r="S37" i="1" s="1"/>
  <c r="P36" i="6"/>
  <c r="P35" i="6"/>
  <c r="S35" i="1" s="1"/>
  <c r="P34" i="6"/>
  <c r="S34" i="1" s="1"/>
  <c r="P33" i="6"/>
  <c r="S33" i="1" s="1"/>
  <c r="P32" i="6"/>
  <c r="S32" i="1" s="1"/>
  <c r="P31" i="6"/>
  <c r="S31" i="1" s="1"/>
  <c r="P30" i="6"/>
  <c r="S30" i="1" s="1"/>
  <c r="P29" i="6"/>
  <c r="S29" i="1" s="1"/>
  <c r="P27" i="6"/>
  <c r="S27" i="1" s="1"/>
  <c r="P25" i="6"/>
  <c r="S25" i="1" s="1"/>
  <c r="P23" i="6"/>
  <c r="S23" i="1" s="1"/>
  <c r="P22" i="6"/>
  <c r="S22" i="1" s="1"/>
  <c r="P21" i="6"/>
  <c r="S21" i="1" s="1"/>
  <c r="P20" i="6"/>
  <c r="S20" i="1" s="1"/>
  <c r="P19" i="6"/>
  <c r="S19" i="1" s="1"/>
  <c r="P18" i="6"/>
  <c r="S18" i="1" s="1"/>
  <c r="P15" i="6"/>
  <c r="P14" i="6"/>
  <c r="P12" i="6"/>
  <c r="S12" i="1" s="1"/>
  <c r="P10" i="6"/>
  <c r="F6" i="5"/>
  <c r="C4" i="6"/>
  <c r="C3" i="6"/>
  <c r="C2" i="6"/>
  <c r="C1" i="6"/>
  <c r="S175" i="1"/>
  <c r="S162" i="1" l="1"/>
  <c r="AQ162" i="1" s="1"/>
  <c r="S138" i="1"/>
  <c r="AQ138" i="1" s="1"/>
  <c r="S164" i="1"/>
  <c r="AQ164" i="1" s="1"/>
  <c r="S139" i="1"/>
  <c r="J49" i="29" s="1"/>
  <c r="O49" i="29" s="1"/>
  <c r="P49" i="29" s="1"/>
  <c r="S158" i="1"/>
  <c r="AQ158" i="1" s="1"/>
  <c r="S159" i="1"/>
  <c r="J102" i="29" s="1"/>
  <c r="O102" i="29" s="1"/>
  <c r="P102" i="29" s="1"/>
  <c r="S146" i="1"/>
  <c r="J51" i="29" s="1"/>
  <c r="O51" i="29" s="1"/>
  <c r="P51" i="29" s="1"/>
  <c r="S15" i="1"/>
  <c r="J44" i="29" s="1"/>
  <c r="O44" i="29" s="1"/>
  <c r="P44" i="29" s="1"/>
  <c r="S161" i="1"/>
  <c r="J126" i="29" s="1"/>
  <c r="O126" i="29" s="1"/>
  <c r="P126" i="29" s="1"/>
  <c r="S141" i="1"/>
  <c r="AQ141" i="1" s="1"/>
  <c r="S36" i="1"/>
  <c r="AQ36" i="1" s="1"/>
  <c r="S153" i="1"/>
  <c r="AQ153" i="1" s="1"/>
  <c r="S163" i="1"/>
  <c r="AQ163" i="1" s="1"/>
  <c r="S167" i="1"/>
  <c r="J15" i="29" s="1"/>
  <c r="O15" i="29" s="1"/>
  <c r="P15" i="29" s="1"/>
  <c r="S142" i="1"/>
  <c r="AQ142" i="1" s="1"/>
  <c r="S154" i="1"/>
  <c r="H94" i="30" s="1"/>
  <c r="J94" i="30" s="1"/>
  <c r="S140" i="1"/>
  <c r="AQ140" i="1" s="1"/>
  <c r="S155" i="1"/>
  <c r="H123" i="30" s="1"/>
  <c r="S156" i="1"/>
  <c r="J124" i="29" s="1"/>
  <c r="O124" i="29" s="1"/>
  <c r="P124" i="29" s="1"/>
  <c r="S170" i="1"/>
  <c r="AQ170" i="1" s="1"/>
  <c r="S10" i="1"/>
  <c r="H41" i="30" s="1"/>
  <c r="J41" i="30" s="1"/>
  <c r="X16" i="30"/>
  <c r="W16" i="30"/>
  <c r="H40" i="30"/>
  <c r="J40" i="30" s="1"/>
  <c r="AQ86" i="1"/>
  <c r="H43" i="30"/>
  <c r="J43" i="30" s="1"/>
  <c r="AQ12" i="1"/>
  <c r="H103" i="30"/>
  <c r="J103" i="30" s="1"/>
  <c r="AQ23" i="1"/>
  <c r="H24" i="30"/>
  <c r="J24" i="30" s="1"/>
  <c r="AQ33" i="1"/>
  <c r="H109" i="30"/>
  <c r="J109" i="30" s="1"/>
  <c r="AQ47" i="1"/>
  <c r="H72" i="30"/>
  <c r="J72" i="30" s="1"/>
  <c r="AQ65" i="1"/>
  <c r="H77" i="30"/>
  <c r="J77" i="30" s="1"/>
  <c r="AQ79" i="1"/>
  <c r="H88" i="30"/>
  <c r="J88" i="30" s="1"/>
  <c r="AQ87" i="1"/>
  <c r="H96" i="30"/>
  <c r="J96" i="30" s="1"/>
  <c r="AQ99" i="1"/>
  <c r="H57" i="30"/>
  <c r="J57" i="30" s="1"/>
  <c r="AQ108" i="1"/>
  <c r="H65" i="30"/>
  <c r="J65" i="30" s="1"/>
  <c r="AQ116" i="1"/>
  <c r="H13" i="30"/>
  <c r="J13" i="30" s="1"/>
  <c r="AQ126" i="1"/>
  <c r="H14" i="30"/>
  <c r="J14" i="30" s="1"/>
  <c r="AQ168" i="1"/>
  <c r="H7" i="30"/>
  <c r="J7" i="30" s="1"/>
  <c r="AQ57" i="1"/>
  <c r="H12" i="30"/>
  <c r="J12" i="30" s="1"/>
  <c r="AQ125" i="1"/>
  <c r="H25" i="30"/>
  <c r="J25" i="30" s="1"/>
  <c r="AQ34" i="1"/>
  <c r="H71" i="30"/>
  <c r="J71" i="30" s="1"/>
  <c r="AQ66" i="1"/>
  <c r="H34" i="30"/>
  <c r="J34" i="30" s="1"/>
  <c r="AQ80" i="1"/>
  <c r="H85" i="30"/>
  <c r="J85" i="30" s="1"/>
  <c r="AQ88" i="1"/>
  <c r="H97" i="30"/>
  <c r="J97" i="30" s="1"/>
  <c r="AQ100" i="1"/>
  <c r="H58" i="30"/>
  <c r="J58" i="30" s="1"/>
  <c r="AQ109" i="1"/>
  <c r="H66" i="30"/>
  <c r="J66" i="30" s="1"/>
  <c r="AQ117" i="1"/>
  <c r="H122" i="30"/>
  <c r="J122" i="30" s="1"/>
  <c r="AQ127" i="1"/>
  <c r="H52" i="30"/>
  <c r="J52" i="30" s="1"/>
  <c r="AQ147" i="1"/>
  <c r="H125" i="30"/>
  <c r="J125" i="30" s="1"/>
  <c r="AQ160" i="1"/>
  <c r="H111" i="30"/>
  <c r="J111" i="30" s="1"/>
  <c r="AQ46" i="1"/>
  <c r="H63" i="30"/>
  <c r="J63" i="30" s="1"/>
  <c r="AQ115" i="1"/>
  <c r="H17" i="30"/>
  <c r="J17" i="30" s="1"/>
  <c r="AQ25" i="1"/>
  <c r="H22" i="30"/>
  <c r="J22" i="30" s="1"/>
  <c r="AQ26" i="1"/>
  <c r="H6" i="30"/>
  <c r="J6" i="30" s="1"/>
  <c r="AQ35" i="1"/>
  <c r="H114" i="30"/>
  <c r="J114" i="30" s="1"/>
  <c r="AQ49" i="1"/>
  <c r="H70" i="30"/>
  <c r="J70" i="30" s="1"/>
  <c r="AQ67" i="1"/>
  <c r="H39" i="30"/>
  <c r="J39" i="30" s="1"/>
  <c r="AQ81" i="1"/>
  <c r="H84" i="30"/>
  <c r="J84" i="30" s="1"/>
  <c r="AQ89" i="1"/>
  <c r="H98" i="30"/>
  <c r="J98" i="30" s="1"/>
  <c r="AQ101" i="1"/>
  <c r="H59" i="30"/>
  <c r="J59" i="30" s="1"/>
  <c r="AQ110" i="1"/>
  <c r="H117" i="30"/>
  <c r="J117" i="30" s="1"/>
  <c r="AQ128" i="1"/>
  <c r="H92" i="30"/>
  <c r="J92" i="30" s="1"/>
  <c r="AQ152" i="1"/>
  <c r="H23" i="30"/>
  <c r="J23" i="30" s="1"/>
  <c r="AQ32" i="1"/>
  <c r="H56" i="30"/>
  <c r="J56" i="30" s="1"/>
  <c r="AQ107" i="1"/>
  <c r="H121" i="30"/>
  <c r="J121" i="30" s="1"/>
  <c r="AQ133" i="1"/>
  <c r="H107" i="30"/>
  <c r="J107" i="30" s="1"/>
  <c r="AQ48" i="1"/>
  <c r="H32" i="30"/>
  <c r="J32" i="30" s="1"/>
  <c r="AQ18" i="1"/>
  <c r="H18" i="30"/>
  <c r="J18" i="30" s="1"/>
  <c r="AQ27" i="1"/>
  <c r="H113" i="30"/>
  <c r="J113" i="30" s="1"/>
  <c r="AQ50" i="1"/>
  <c r="H73" i="30"/>
  <c r="J73" i="30" s="1"/>
  <c r="AQ68" i="1"/>
  <c r="H38" i="30"/>
  <c r="J38" i="30" s="1"/>
  <c r="AQ82" i="1"/>
  <c r="H86" i="30"/>
  <c r="J86" i="30" s="1"/>
  <c r="AQ91" i="1"/>
  <c r="H60" i="30"/>
  <c r="J60" i="30" s="1"/>
  <c r="AQ111" i="1"/>
  <c r="H99" i="30"/>
  <c r="J99" i="30" s="1"/>
  <c r="AQ120" i="1"/>
  <c r="H118" i="30"/>
  <c r="J118" i="30" s="1"/>
  <c r="AQ129" i="1"/>
  <c r="H42" i="30"/>
  <c r="J42" i="30" s="1"/>
  <c r="AQ11" i="1"/>
  <c r="H81" i="30"/>
  <c r="J81" i="30" s="1"/>
  <c r="AQ75" i="1"/>
  <c r="H68" i="30"/>
  <c r="J68" i="30" s="1"/>
  <c r="AQ53" i="1"/>
  <c r="H75" i="30"/>
  <c r="J75" i="30" s="1"/>
  <c r="AQ69" i="1"/>
  <c r="H37" i="30"/>
  <c r="J37" i="30" s="1"/>
  <c r="AQ83" i="1"/>
  <c r="H89" i="30"/>
  <c r="J89" i="30" s="1"/>
  <c r="AQ94" i="1"/>
  <c r="H53" i="30"/>
  <c r="J53" i="30" s="1"/>
  <c r="AQ104" i="1"/>
  <c r="H61" i="30"/>
  <c r="J61" i="30" s="1"/>
  <c r="AQ112" i="1"/>
  <c r="H100" i="30"/>
  <c r="J100" i="30" s="1"/>
  <c r="AQ121" i="1"/>
  <c r="H116" i="30"/>
  <c r="J116" i="30" s="1"/>
  <c r="AQ130" i="1"/>
  <c r="H104" i="30"/>
  <c r="J104" i="30" s="1"/>
  <c r="AQ22" i="1"/>
  <c r="H95" i="30"/>
  <c r="J95" i="30" s="1"/>
  <c r="AQ98" i="1"/>
  <c r="H21" i="30"/>
  <c r="J21" i="30" s="1"/>
  <c r="AQ29" i="1"/>
  <c r="H30" i="30"/>
  <c r="AQ20" i="1"/>
  <c r="H69" i="30"/>
  <c r="J69" i="30" s="1"/>
  <c r="AQ54" i="1"/>
  <c r="H79" i="30"/>
  <c r="J79" i="30" s="1"/>
  <c r="AQ73" i="1"/>
  <c r="H35" i="30"/>
  <c r="J35" i="30" s="1"/>
  <c r="AQ84" i="1"/>
  <c r="H90" i="30"/>
  <c r="J90" i="30" s="1"/>
  <c r="AQ95" i="1"/>
  <c r="H55" i="30"/>
  <c r="J55" i="30" s="1"/>
  <c r="AQ105" i="1"/>
  <c r="H62" i="30"/>
  <c r="J62" i="30" s="1"/>
  <c r="AQ113" i="1"/>
  <c r="H115" i="30"/>
  <c r="J115" i="30" s="1"/>
  <c r="AQ122" i="1"/>
  <c r="H120" i="30"/>
  <c r="J120" i="30" s="1"/>
  <c r="AQ131" i="1"/>
  <c r="H31" i="30"/>
  <c r="J31" i="30" s="1"/>
  <c r="AQ19" i="1"/>
  <c r="H5" i="30"/>
  <c r="J5" i="30" s="1"/>
  <c r="AQ37" i="1"/>
  <c r="H19" i="30"/>
  <c r="J19" i="30" s="1"/>
  <c r="AQ30" i="1"/>
  <c r="H106" i="30"/>
  <c r="J106" i="30" s="1"/>
  <c r="AQ45" i="1"/>
  <c r="H11" i="30"/>
  <c r="J11" i="30" s="1"/>
  <c r="AQ56" i="1"/>
  <c r="H82" i="30"/>
  <c r="J82" i="30" s="1"/>
  <c r="AQ74" i="1"/>
  <c r="H36" i="30"/>
  <c r="J36" i="30" s="1"/>
  <c r="AQ85" i="1"/>
  <c r="H91" i="30"/>
  <c r="J91" i="30" s="1"/>
  <c r="AQ96" i="1"/>
  <c r="H54" i="30"/>
  <c r="J54" i="30" s="1"/>
  <c r="AQ106" i="1"/>
  <c r="H64" i="30"/>
  <c r="J64" i="30" s="1"/>
  <c r="AQ114" i="1"/>
  <c r="H119" i="30"/>
  <c r="J119" i="30" s="1"/>
  <c r="AQ132" i="1"/>
  <c r="H26" i="30"/>
  <c r="J26" i="30" s="1"/>
  <c r="AQ31" i="1"/>
  <c r="H33" i="30"/>
  <c r="J33" i="30" s="1"/>
  <c r="AQ21" i="1"/>
  <c r="J105" i="29"/>
  <c r="O105" i="29" s="1"/>
  <c r="P105" i="29" s="1"/>
  <c r="H46" i="30"/>
  <c r="H127" i="30"/>
  <c r="J127" i="30" s="1"/>
  <c r="J14" i="29"/>
  <c r="O14" i="29" s="1"/>
  <c r="P14" i="29" s="1"/>
  <c r="J125" i="29"/>
  <c r="O125" i="29" s="1"/>
  <c r="P125" i="29" s="1"/>
  <c r="J92" i="29"/>
  <c r="O92" i="29" s="1"/>
  <c r="P92" i="29" s="1"/>
  <c r="J53" i="29"/>
  <c r="O53" i="29" s="1"/>
  <c r="P53" i="29" s="1"/>
  <c r="J12" i="29"/>
  <c r="J99" i="29"/>
  <c r="O99" i="29" s="1"/>
  <c r="P99" i="29" s="1"/>
  <c r="J31" i="29"/>
  <c r="O31" i="29" s="1"/>
  <c r="P31" i="29" s="1"/>
  <c r="J75" i="29"/>
  <c r="O75" i="29" s="1"/>
  <c r="P75" i="29" s="1"/>
  <c r="J100" i="29"/>
  <c r="O100" i="29" s="1"/>
  <c r="P100" i="29" s="1"/>
  <c r="J30" i="29"/>
  <c r="J69" i="29"/>
  <c r="O69" i="29" s="1"/>
  <c r="P69" i="29" s="1"/>
  <c r="J35" i="29"/>
  <c r="O35" i="29" s="1"/>
  <c r="P35" i="29" s="1"/>
  <c r="J55" i="29"/>
  <c r="O55" i="29" s="1"/>
  <c r="P55" i="29" s="1"/>
  <c r="J62" i="29"/>
  <c r="O62" i="29" s="1"/>
  <c r="P62" i="29" s="1"/>
  <c r="J120" i="29"/>
  <c r="O120" i="29" s="1"/>
  <c r="P120" i="29" s="1"/>
  <c r="J129" i="29"/>
  <c r="O129" i="29" s="1"/>
  <c r="P129" i="29" s="1"/>
  <c r="J33" i="29"/>
  <c r="O33" i="29" s="1"/>
  <c r="P33" i="29" s="1"/>
  <c r="J26" i="29"/>
  <c r="J106" i="29"/>
  <c r="O106" i="29" s="1"/>
  <c r="P106" i="29" s="1"/>
  <c r="J11" i="29"/>
  <c r="O11" i="29" s="1"/>
  <c r="P11" i="29" s="1"/>
  <c r="J82" i="29"/>
  <c r="O82" i="29" s="1"/>
  <c r="P82" i="29" s="1"/>
  <c r="J36" i="29"/>
  <c r="O36" i="29" s="1"/>
  <c r="P36" i="29" s="1"/>
  <c r="J91" i="29"/>
  <c r="O91" i="29" s="1"/>
  <c r="P91" i="29" s="1"/>
  <c r="J54" i="29"/>
  <c r="O54" i="29" s="1"/>
  <c r="P54" i="29" s="1"/>
  <c r="J64" i="29"/>
  <c r="O64" i="29" s="1"/>
  <c r="P64" i="29" s="1"/>
  <c r="J119" i="29"/>
  <c r="O119" i="29" s="1"/>
  <c r="P119" i="29" s="1"/>
  <c r="J5" i="29"/>
  <c r="O5" i="29" s="1"/>
  <c r="P5" i="29" s="1"/>
  <c r="J116" i="29"/>
  <c r="O116" i="29" s="1"/>
  <c r="P116" i="29" s="1"/>
  <c r="J19" i="29"/>
  <c r="O19" i="29" s="1"/>
  <c r="P19" i="29" s="1"/>
  <c r="J79" i="29"/>
  <c r="O79" i="29" s="1"/>
  <c r="P79" i="29" s="1"/>
  <c r="J90" i="29"/>
  <c r="O90" i="29" s="1"/>
  <c r="P90" i="29" s="1"/>
  <c r="J115" i="29"/>
  <c r="O115" i="29" s="1"/>
  <c r="P115" i="29" s="1"/>
  <c r="J104" i="29"/>
  <c r="F69" i="31" s="1"/>
  <c r="J23" i="29"/>
  <c r="O23" i="29" s="1"/>
  <c r="P23" i="29" s="1"/>
  <c r="J111" i="29"/>
  <c r="O111" i="29" s="1"/>
  <c r="P111" i="29" s="1"/>
  <c r="J7" i="29"/>
  <c r="O7" i="29" s="1"/>
  <c r="P7" i="29" s="1"/>
  <c r="J81" i="29"/>
  <c r="O81" i="29" s="1"/>
  <c r="P81" i="29" s="1"/>
  <c r="J40" i="29"/>
  <c r="O40" i="29" s="1"/>
  <c r="P40" i="29" s="1"/>
  <c r="J95" i="29"/>
  <c r="O95" i="29" s="1"/>
  <c r="P95" i="29" s="1"/>
  <c r="J56" i="29"/>
  <c r="O56" i="29" s="1"/>
  <c r="P56" i="29" s="1"/>
  <c r="J63" i="29"/>
  <c r="O63" i="29" s="1"/>
  <c r="P63" i="29" s="1"/>
  <c r="J121" i="29"/>
  <c r="O121" i="29" s="1"/>
  <c r="P121" i="29" s="1"/>
  <c r="J37" i="29"/>
  <c r="O37" i="29" s="1"/>
  <c r="P37" i="29" s="1"/>
  <c r="J68" i="29"/>
  <c r="O68" i="29" s="1"/>
  <c r="P68" i="29" s="1"/>
  <c r="J61" i="29"/>
  <c r="O61" i="29" s="1"/>
  <c r="P61" i="29" s="1"/>
  <c r="J103" i="29"/>
  <c r="O103" i="29" s="1"/>
  <c r="P103" i="29" s="1"/>
  <c r="J109" i="29"/>
  <c r="O109" i="29" s="1"/>
  <c r="P109" i="29" s="1"/>
  <c r="J77" i="29"/>
  <c r="O77" i="29" s="1"/>
  <c r="P77" i="29" s="1"/>
  <c r="J57" i="29"/>
  <c r="O57" i="29" s="1"/>
  <c r="P57" i="29" s="1"/>
  <c r="J13" i="29"/>
  <c r="O13" i="29" s="1"/>
  <c r="P13" i="29" s="1"/>
  <c r="J17" i="29"/>
  <c r="O17" i="29" s="1"/>
  <c r="P17" i="29" s="1"/>
  <c r="J107" i="29"/>
  <c r="O107" i="29" s="1"/>
  <c r="P107" i="29" s="1"/>
  <c r="J71" i="29"/>
  <c r="O71" i="29" s="1"/>
  <c r="P71" i="29" s="1"/>
  <c r="J34" i="29"/>
  <c r="O34" i="29" s="1"/>
  <c r="P34" i="29" s="1"/>
  <c r="J85" i="29"/>
  <c r="O85" i="29" s="1"/>
  <c r="P85" i="29" s="1"/>
  <c r="J97" i="29"/>
  <c r="O97" i="29" s="1"/>
  <c r="P97" i="29" s="1"/>
  <c r="J58" i="29"/>
  <c r="O58" i="29" s="1"/>
  <c r="P58" i="29" s="1"/>
  <c r="J66" i="29"/>
  <c r="O66" i="29" s="1"/>
  <c r="P66" i="29" s="1"/>
  <c r="J122" i="29"/>
  <c r="O122" i="29" s="1"/>
  <c r="P122" i="29" s="1"/>
  <c r="J46" i="29"/>
  <c r="O46" i="29" s="1"/>
  <c r="P46" i="29" s="1"/>
  <c r="J52" i="29"/>
  <c r="O52" i="29" s="1"/>
  <c r="P52" i="29" s="1"/>
  <c r="J21" i="29"/>
  <c r="O21" i="29" s="1"/>
  <c r="P21" i="29" s="1"/>
  <c r="J89" i="29"/>
  <c r="O89" i="29" s="1"/>
  <c r="P89" i="29" s="1"/>
  <c r="J128" i="29"/>
  <c r="O128" i="29" s="1"/>
  <c r="P128" i="29" s="1"/>
  <c r="J24" i="29"/>
  <c r="O24" i="29" s="1"/>
  <c r="P24" i="29" s="1"/>
  <c r="J88" i="29"/>
  <c r="O88" i="29" s="1"/>
  <c r="P88" i="29" s="1"/>
  <c r="J22" i="29"/>
  <c r="O22" i="29" s="1"/>
  <c r="P22" i="29" s="1"/>
  <c r="J6" i="29"/>
  <c r="O6" i="29" s="1"/>
  <c r="P6" i="29" s="1"/>
  <c r="J114" i="29"/>
  <c r="O114" i="29" s="1"/>
  <c r="P114" i="29" s="1"/>
  <c r="J70" i="29"/>
  <c r="O70" i="29" s="1"/>
  <c r="P70" i="29" s="1"/>
  <c r="J39" i="29"/>
  <c r="O39" i="29" s="1"/>
  <c r="P39" i="29" s="1"/>
  <c r="J84" i="29"/>
  <c r="O84" i="29" s="1"/>
  <c r="P84" i="29" s="1"/>
  <c r="J98" i="29"/>
  <c r="O98" i="29" s="1"/>
  <c r="P98" i="29" s="1"/>
  <c r="J59" i="29"/>
  <c r="O59" i="29" s="1"/>
  <c r="P59" i="29" s="1"/>
  <c r="J117" i="29"/>
  <c r="O117" i="29" s="1"/>
  <c r="P117" i="29" s="1"/>
  <c r="J43" i="29"/>
  <c r="J72" i="29"/>
  <c r="O72" i="29" s="1"/>
  <c r="P72" i="29" s="1"/>
  <c r="J96" i="29"/>
  <c r="O96" i="29" s="1"/>
  <c r="P96" i="29" s="1"/>
  <c r="J65" i="29"/>
  <c r="O65" i="29" s="1"/>
  <c r="P65" i="29" s="1"/>
  <c r="J25" i="29"/>
  <c r="O25" i="29" s="1"/>
  <c r="P25" i="29" s="1"/>
  <c r="J32" i="29"/>
  <c r="O32" i="29" s="1"/>
  <c r="P32" i="29" s="1"/>
  <c r="J18" i="29"/>
  <c r="O18" i="29" s="1"/>
  <c r="P18" i="29" s="1"/>
  <c r="H2" i="30"/>
  <c r="J2" i="30" s="1"/>
  <c r="J2" i="29"/>
  <c r="O2" i="29" s="1"/>
  <c r="P2" i="29" s="1"/>
  <c r="J113" i="29"/>
  <c r="O113" i="29" s="1"/>
  <c r="P113" i="29" s="1"/>
  <c r="J73" i="29"/>
  <c r="O73" i="29" s="1"/>
  <c r="P73" i="29" s="1"/>
  <c r="J38" i="29"/>
  <c r="O38" i="29" s="1"/>
  <c r="P38" i="29" s="1"/>
  <c r="J86" i="29"/>
  <c r="O86" i="29" s="1"/>
  <c r="P86" i="29" s="1"/>
  <c r="J60" i="29"/>
  <c r="O60" i="29" s="1"/>
  <c r="P60" i="29" s="1"/>
  <c r="J118" i="29"/>
  <c r="O118" i="29" s="1"/>
  <c r="P118" i="29" s="1"/>
  <c r="J47" i="29"/>
  <c r="O47" i="29" s="1"/>
  <c r="P47" i="29" s="1"/>
  <c r="J93" i="29"/>
  <c r="O93" i="29" s="1"/>
  <c r="P93" i="29" s="1"/>
  <c r="J127" i="29"/>
  <c r="O127" i="29" s="1"/>
  <c r="P127" i="29" s="1"/>
  <c r="J42" i="29"/>
  <c r="F23" i="5"/>
  <c r="S205" i="1" s="1"/>
  <c r="H102" i="30" l="1"/>
  <c r="J102" i="30" s="1"/>
  <c r="H129" i="30"/>
  <c r="J129" i="30" s="1"/>
  <c r="H126" i="30"/>
  <c r="J126" i="30" s="1"/>
  <c r="H49" i="30"/>
  <c r="J49" i="30" s="1"/>
  <c r="H101" i="30"/>
  <c r="J101" i="30" s="1"/>
  <c r="H51" i="30"/>
  <c r="J51" i="30" s="1"/>
  <c r="H15" i="30"/>
  <c r="J15" i="30" s="1"/>
  <c r="J48" i="29"/>
  <c r="O48" i="29" s="1"/>
  <c r="P48" i="29" s="1"/>
  <c r="H48" i="30"/>
  <c r="J48" i="30" s="1"/>
  <c r="H128" i="30"/>
  <c r="J128" i="30" s="1"/>
  <c r="H93" i="30"/>
  <c r="J93" i="30" s="1"/>
  <c r="H47" i="30"/>
  <c r="J47" i="30" s="1"/>
  <c r="O104" i="29"/>
  <c r="P104" i="29" s="1"/>
  <c r="F70" i="31"/>
  <c r="I68" i="31" s="1"/>
  <c r="O30" i="29"/>
  <c r="P30" i="29" s="1"/>
  <c r="F50" i="31"/>
  <c r="I50" i="31" s="1"/>
  <c r="O43" i="29"/>
  <c r="P43" i="29" s="1"/>
  <c r="F33" i="31"/>
  <c r="O42" i="29"/>
  <c r="P42" i="29" s="1"/>
  <c r="AQ155" i="1"/>
  <c r="AQ15" i="1"/>
  <c r="H124" i="30"/>
  <c r="J124" i="30" s="1"/>
  <c r="J41" i="29"/>
  <c r="F34" i="31" s="1"/>
  <c r="J123" i="29"/>
  <c r="O123" i="29" s="1"/>
  <c r="P123" i="29" s="1"/>
  <c r="AQ146" i="1"/>
  <c r="AQ156" i="1"/>
  <c r="AQ161" i="1"/>
  <c r="AQ10" i="1"/>
  <c r="J94" i="29"/>
  <c r="O94" i="29" s="1"/>
  <c r="P94" i="29" s="1"/>
  <c r="J130" i="29"/>
  <c r="O130" i="29" s="1"/>
  <c r="P130" i="29" s="1"/>
  <c r="AQ167" i="1"/>
  <c r="AQ139" i="1"/>
  <c r="AQ159" i="1"/>
  <c r="AQ154" i="1"/>
  <c r="H44" i="30"/>
  <c r="J44" i="30" s="1"/>
  <c r="J50" i="29"/>
  <c r="O50" i="29" s="1"/>
  <c r="P50" i="29" s="1"/>
  <c r="J101" i="29"/>
  <c r="O101" i="29" s="1"/>
  <c r="P101" i="29" s="1"/>
  <c r="H50" i="30"/>
  <c r="J50" i="30" s="1"/>
  <c r="H130" i="30"/>
  <c r="J130" i="30" s="1"/>
  <c r="O12" i="29"/>
  <c r="P12" i="29" s="1"/>
  <c r="F9" i="31"/>
  <c r="I8" i="31" s="1"/>
  <c r="F35" i="31"/>
  <c r="R4" i="30"/>
  <c r="T4" i="30" s="1"/>
  <c r="R6" i="30"/>
  <c r="T6" i="30" s="1"/>
  <c r="S198" i="1"/>
  <c r="B43" i="24" s="1"/>
  <c r="R5" i="30"/>
  <c r="T5" i="30" s="1"/>
  <c r="R9" i="30"/>
  <c r="T9" i="30" s="1"/>
  <c r="R14" i="30"/>
  <c r="T14" i="30" s="1"/>
  <c r="R10" i="30"/>
  <c r="T10" i="30" s="1"/>
  <c r="H105" i="30"/>
  <c r="J105" i="30" s="1"/>
  <c r="AQ41" i="1"/>
  <c r="J30" i="30"/>
  <c r="O26" i="29"/>
  <c r="P26" i="29" s="1"/>
  <c r="F22" i="31"/>
  <c r="I20" i="31" s="1"/>
  <c r="J46" i="30"/>
  <c r="F85" i="31"/>
  <c r="I80" i="31" s="1"/>
  <c r="J123" i="30"/>
  <c r="R2" i="30"/>
  <c r="B49" i="24"/>
  <c r="R12" i="30" l="1"/>
  <c r="T12" i="30" s="1"/>
  <c r="R11" i="30"/>
  <c r="T11" i="30" s="1"/>
  <c r="F32" i="31"/>
  <c r="I32" i="31" s="1"/>
  <c r="L68" i="31"/>
  <c r="K68" i="31"/>
  <c r="R15" i="30"/>
  <c r="T15" i="30" s="1"/>
  <c r="R3" i="30"/>
  <c r="T3" i="30" s="1"/>
  <c r="R7" i="30"/>
  <c r="T7" i="30" s="1"/>
  <c r="O41" i="29"/>
  <c r="P41" i="29" s="1"/>
  <c r="R8" i="30"/>
  <c r="T8" i="30" s="1"/>
  <c r="L8" i="31"/>
  <c r="K8" i="31"/>
  <c r="R13" i="30"/>
  <c r="T13" i="30" s="1"/>
  <c r="L20" i="31"/>
  <c r="K20" i="31"/>
  <c r="D12" i="24"/>
  <c r="T2" i="30"/>
  <c r="S199" i="1"/>
  <c r="B44" i="24" s="1"/>
  <c r="L32" i="31" l="1"/>
  <c r="O6" i="24" s="1"/>
  <c r="K32" i="31"/>
  <c r="N68" i="31"/>
  <c r="M68" i="31" s="1"/>
  <c r="C8" i="24" s="1"/>
  <c r="O8" i="24"/>
  <c r="D8" i="24"/>
  <c r="N8" i="31"/>
  <c r="M8" i="31" s="1"/>
  <c r="C13" i="24" s="1"/>
  <c r="O13" i="24"/>
  <c r="D13" i="24"/>
  <c r="D16" i="24"/>
  <c r="O16" i="24"/>
  <c r="N20" i="31"/>
  <c r="M20" i="31" s="1"/>
  <c r="R16" i="30"/>
  <c r="T16" i="30" s="1"/>
  <c r="N80" i="31"/>
  <c r="M80" i="31" s="1"/>
  <c r="S200" i="1"/>
  <c r="B45" i="24" s="1"/>
  <c r="D6" i="24" l="1"/>
  <c r="N32" i="31"/>
  <c r="M32" i="31" s="1"/>
  <c r="N6" i="24" s="1"/>
  <c r="N8" i="24"/>
  <c r="N13" i="24"/>
  <c r="C16" i="24"/>
  <c r="N16" i="24"/>
  <c r="C12" i="24"/>
  <c r="N12" i="24"/>
  <c r="S201" i="1"/>
  <c r="C6" i="24" l="1"/>
  <c r="B46" i="24"/>
  <c r="S206" i="1"/>
  <c r="B50" i="24" s="1"/>
  <c r="S202" i="1"/>
  <c r="B47" i="24" s="1"/>
  <c r="S203" i="1" l="1"/>
  <c r="B48" i="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Rose, Scott</author>
    <author>Scott Newell</author>
    <author>ELLIOTT Michael S - ODE</author>
    <author>Tiffany Hammond</author>
    <author>"elliottm"</author>
    <author>tc={4F0DB040-BF8E-45BF-BA4B-5CF5BA7E6FE0}</author>
    <author>tc={D8857CEE-A667-43B5-B8E6-7FE2FA153A4A}</author>
  </authors>
  <commentList>
    <comment ref="C10" authorId="0" shapeId="0" xr:uid="{00000000-0006-0000-0200-000001000000}">
      <text>
        <r>
          <rPr>
            <b/>
            <sz val="9"/>
            <color indexed="81"/>
            <rFont val="Tahoma"/>
            <family val="2"/>
          </rPr>
          <t>Standard spread and strip/perimeter footings. Based on building's gross square footage.</t>
        </r>
      </text>
    </comment>
    <comment ref="H10" authorId="0" shapeId="0" xr:uid="{00000000-0006-0000-0200-000002000000}">
      <text>
        <r>
          <rPr>
            <b/>
            <sz val="9"/>
            <color indexed="81"/>
            <rFont val="Tahoma"/>
            <family val="2"/>
          </rPr>
          <t>Minor cracking observed - fill and seal the cracks to prevent water intrusion</t>
        </r>
      </text>
    </comment>
    <comment ref="J10" authorId="1" shapeId="0" xr:uid="{C3AFCBE0-E396-4561-A4E7-B7CDC15BFA7D}">
      <text>
        <r>
          <rPr>
            <b/>
            <sz val="9"/>
            <color indexed="81"/>
            <rFont val="Tahoma"/>
            <family val="2"/>
          </rPr>
          <t>Larger separation cracks occurring and/or evidence of shrinking heaving in areas</t>
        </r>
      </text>
    </comment>
    <comment ref="L10" authorId="0" shapeId="0" xr:uid="{00000000-0006-0000-0200-000003000000}">
      <text>
        <r>
          <rPr>
            <b/>
            <sz val="9"/>
            <color indexed="81"/>
            <rFont val="Tahoma"/>
            <family val="2"/>
          </rPr>
          <t>Settlement observed in surrounding conditions - requiring stabilization of the foundation, sub-grade adjustment, and re-enforcement of the foundation</t>
        </r>
      </text>
    </comment>
    <comment ref="C11" authorId="0" shapeId="0" xr:uid="{00000000-0006-0000-0200-000004000000}">
      <text>
        <r>
          <rPr>
            <b/>
            <sz val="9"/>
            <color indexed="81"/>
            <rFont val="Tahoma"/>
            <family val="2"/>
          </rPr>
          <t xml:space="preserve">Pilings or other extended foundation systems that overcome non-standard soil conditions. Based on building's gross square footage. </t>
        </r>
      </text>
    </comment>
    <comment ref="H11" authorId="0" shapeId="0" xr:uid="{00000000-0006-0000-0200-000005000000}">
      <text>
        <r>
          <rPr>
            <b/>
            <sz val="9"/>
            <color indexed="81"/>
            <rFont val="Tahoma"/>
            <family val="2"/>
          </rPr>
          <t>Minor cracking observed - fill and seal the cracks to prevent water intrusion</t>
        </r>
      </text>
    </comment>
    <comment ref="J11" authorId="1" shapeId="0" xr:uid="{21F8351C-CBEF-40D8-84F3-CD9D8FE31EA8}">
      <text>
        <r>
          <rPr>
            <b/>
            <sz val="9"/>
            <color indexed="81"/>
            <rFont val="Tahoma"/>
            <family val="2"/>
          </rPr>
          <t>Larger separation cracks occurring and/or evidence of shrinking heaving in areas</t>
        </r>
      </text>
    </comment>
    <comment ref="L11" authorId="0" shapeId="0" xr:uid="{00000000-0006-0000-0200-000006000000}">
      <text>
        <r>
          <rPr>
            <b/>
            <sz val="9"/>
            <color indexed="81"/>
            <rFont val="Tahoma"/>
            <family val="2"/>
          </rPr>
          <t>Settlement observed in surrounding conditions - requiring stabilization of the foundation, sub-grade adjustment, and re-enforcement of the foundation</t>
        </r>
      </text>
    </comment>
    <comment ref="C12" authorId="0" shapeId="0" xr:uid="{00000000-0006-0000-0200-000007000000}">
      <text>
        <r>
          <rPr>
            <b/>
            <sz val="9"/>
            <color indexed="81"/>
            <rFont val="Tahoma"/>
            <family val="2"/>
          </rPr>
          <t>Standard ground-set concrete slab. If slab is elevated, i.e. has a crawl space or basement, apply conditions to B1010 instead. Based on building's gross square footage.</t>
        </r>
      </text>
    </comment>
    <comment ref="H12" authorId="1" shapeId="0" xr:uid="{05CA4332-7983-4863-91D5-7FEC75EC55E1}">
      <text>
        <r>
          <rPr>
            <b/>
            <sz val="9"/>
            <color rgb="FF000000"/>
            <rFont val="Tahoma"/>
            <family val="2"/>
          </rPr>
          <t>Minor cracking observed - fill and seal the cracks to prevent water intrusion</t>
        </r>
      </text>
    </comment>
    <comment ref="J12" authorId="0" shapeId="0" xr:uid="{00000000-0006-0000-0200-000008000000}">
      <text>
        <r>
          <rPr>
            <b/>
            <sz val="9"/>
            <color indexed="81"/>
            <rFont val="Tahoma"/>
            <family val="2"/>
          </rPr>
          <t>Larger separation cracks occurring and/or evidence of shrinking heaving in areas</t>
        </r>
      </text>
    </comment>
    <comment ref="L12" authorId="0" shapeId="0" xr:uid="{00000000-0006-0000-0200-000009000000}">
      <text>
        <r>
          <rPr>
            <b/>
            <sz val="9"/>
            <color indexed="81"/>
            <rFont val="Tahoma"/>
            <family val="2"/>
          </rPr>
          <t>Differential settlement occurring - requires removal of section of slab, adjustment to sub-grade, and new infill</t>
        </r>
      </text>
    </comment>
    <comment ref="C15" authorId="0" shapeId="0" xr:uid="{00000000-0006-0000-0200-00000A000000}">
      <text>
        <r>
          <rPr>
            <b/>
            <sz val="9"/>
            <color indexed="81"/>
            <rFont val="Tahoma"/>
            <family val="2"/>
          </rPr>
          <t xml:space="preserve">Assumed as concrete walls with water-proofing on the exterior.  Includes only the structural portion and not the wall finishes. Based on building's gross square footage. </t>
        </r>
      </text>
    </comment>
    <comment ref="H15" authorId="0" shapeId="0" xr:uid="{00000000-0006-0000-0200-00000B000000}">
      <text>
        <r>
          <rPr>
            <b/>
            <sz val="9"/>
            <color indexed="81"/>
            <rFont val="Tahoma"/>
            <family val="2"/>
          </rPr>
          <t>Inadequate below grade venting is observed - cut in and add venting.</t>
        </r>
      </text>
    </comment>
    <comment ref="J15" authorId="0" shapeId="0" xr:uid="{00000000-0006-0000-0200-00000C000000}">
      <text>
        <r>
          <rPr>
            <b/>
            <sz val="9"/>
            <color indexed="81"/>
            <rFont val="Tahoma"/>
            <family val="2"/>
          </rPr>
          <t>Wall is cracked and spalling requiring route and fill and patch and re-finish.</t>
        </r>
      </text>
    </comment>
    <comment ref="L15" authorId="0" shapeId="0" xr:uid="{00000000-0006-0000-0200-00000D000000}">
      <text>
        <r>
          <rPr>
            <b/>
            <sz val="9"/>
            <color indexed="81"/>
            <rFont val="Tahoma"/>
            <family val="2"/>
          </rPr>
          <t>Wall is cracked with evidence of water intrusion. Repairs to be implemented and water barrier to be applied to be applied.</t>
        </r>
      </text>
    </comment>
    <comment ref="C18" authorId="0" shapeId="0" xr:uid="{00000000-0006-0000-0200-00000E000000}">
      <text>
        <r>
          <rPr>
            <b/>
            <sz val="9"/>
            <color indexed="81"/>
            <rFont val="Tahoma"/>
            <family val="2"/>
          </rPr>
          <t>A suspended floor including the structural members and floor construction, but not including the actual finish.</t>
        </r>
      </text>
    </comment>
    <comment ref="H18" authorId="1" shapeId="0" xr:uid="{52E397A8-5422-4300-9866-E073E2D5CB5D}">
      <text>
        <r>
          <rPr>
            <b/>
            <sz val="9"/>
            <color rgb="FF000000"/>
            <rFont val="Tahoma"/>
            <family val="2"/>
          </rPr>
          <t xml:space="preserve">Minor issue observed requiring maintenance or repair. Does not require removal of deck. </t>
        </r>
      </text>
    </comment>
    <comment ref="J18" authorId="0" shapeId="0" xr:uid="{00000000-0006-0000-0200-00000F000000}">
      <text>
        <r>
          <rPr>
            <b/>
            <sz val="9"/>
            <color indexed="81"/>
            <rFont val="Tahoma"/>
            <family val="2"/>
          </rPr>
          <t>Deck lifting or uneven not the structural support below - requires repair of the deck.</t>
        </r>
      </text>
    </comment>
    <comment ref="L18" authorId="1" shapeId="0" xr:uid="{6BEA9F0A-08C0-4E80-A87C-073E241F031B}">
      <text>
        <r>
          <rPr>
            <b/>
            <sz val="9"/>
            <color indexed="81"/>
            <rFont val="Tahoma"/>
            <family val="2"/>
          </rPr>
          <t>Deck lifting, settling, or uneven - appears related to the deck itself and not the structural support below - requires removal and replacement of deck.</t>
        </r>
      </text>
    </comment>
    <comment ref="N18" authorId="0" shapeId="0" xr:uid="{00000000-0006-0000-0200-000010000000}">
      <text>
        <r>
          <rPr>
            <b/>
            <sz val="9"/>
            <color indexed="81"/>
            <rFont val="Tahoma"/>
            <family val="2"/>
          </rPr>
          <t>Visible evidence of a sagging or settled structure or depression in the floor line, requiring removal and replacement.</t>
        </r>
      </text>
    </comment>
    <comment ref="P18" authorId="0" shapeId="0" xr:uid="{00000000-0006-0000-0200-000011000000}">
      <text>
        <r>
          <rPr>
            <b/>
            <sz val="9"/>
            <color indexed="81"/>
            <rFont val="Tahoma"/>
            <family val="2"/>
          </rPr>
          <t>Visible evidence of a sagging or settled structure or depression in the floor line, requiring removal and replacement</t>
        </r>
      </text>
    </comment>
    <comment ref="H19" authorId="1" shapeId="0" xr:uid="{517466ED-E512-4BBE-A576-E45E108EEF8B}">
      <text>
        <r>
          <rPr>
            <b/>
            <sz val="9"/>
            <color indexed="81"/>
            <rFont val="Tahoma"/>
            <family val="2"/>
          </rPr>
          <t xml:space="preserve">Minor issue observed requiring maintenance or repair. Does not require removal of deck. </t>
        </r>
      </text>
    </comment>
    <comment ref="J19" authorId="0" shapeId="0" xr:uid="{00000000-0006-0000-0200-000012000000}">
      <text>
        <r>
          <rPr>
            <b/>
            <sz val="9"/>
            <color indexed="81"/>
            <rFont val="Tahoma"/>
            <family val="2"/>
          </rPr>
          <t>Deck lifting or uneven not the structural support below - requires repair of the deck.</t>
        </r>
      </text>
    </comment>
    <comment ref="L19" authorId="1" shapeId="0" xr:uid="{F3BD94CB-F8EC-49E6-B57D-133B1760FCC3}">
      <text>
        <r>
          <rPr>
            <b/>
            <sz val="9"/>
            <color indexed="81"/>
            <rFont val="Tahoma"/>
            <family val="2"/>
          </rPr>
          <t>Deck lifting, settling, or uneven - appears related to the deck itself and not the structural support below - requires removal and replacement of deck.</t>
        </r>
      </text>
    </comment>
    <comment ref="N19" authorId="0" shapeId="0" xr:uid="{00000000-0006-0000-0200-000013000000}">
      <text>
        <r>
          <rPr>
            <b/>
            <sz val="9"/>
            <color indexed="81"/>
            <rFont val="Tahoma"/>
            <family val="2"/>
          </rPr>
          <t>Visible evidence of a sagging or settled structure or depression in the floor line, requiring removal and replacement.</t>
        </r>
      </text>
    </comment>
    <comment ref="P19" authorId="0" shapeId="0" xr:uid="{00000000-0006-0000-0200-000014000000}">
      <text>
        <r>
          <rPr>
            <b/>
            <sz val="9"/>
            <color indexed="81"/>
            <rFont val="Tahoma"/>
            <family val="2"/>
          </rPr>
          <t>Visible evidence of a sagging or settled structure or depression in the floor line, requiring removal and replacement</t>
        </r>
      </text>
    </comment>
    <comment ref="H20" authorId="1" shapeId="0" xr:uid="{511C18BE-2D91-48AB-BE3A-D25E11BCEEF5}">
      <text>
        <r>
          <rPr>
            <b/>
            <sz val="9"/>
            <color indexed="81"/>
            <rFont val="Tahoma"/>
            <family val="2"/>
          </rPr>
          <t xml:space="preserve">Minor issue observed requiring maintenance or repair. Does not require removal of deck. </t>
        </r>
      </text>
    </comment>
    <comment ref="J20" authorId="0" shapeId="0" xr:uid="{00000000-0006-0000-0200-000015000000}">
      <text>
        <r>
          <rPr>
            <b/>
            <sz val="9"/>
            <color indexed="81"/>
            <rFont val="Tahoma"/>
            <family val="2"/>
          </rPr>
          <t>Deck lifting or uneven not the structural support below - requires repair of the deck.</t>
        </r>
      </text>
    </comment>
    <comment ref="L20" authorId="1" shapeId="0" xr:uid="{C3A5F0ED-3847-4CFD-B365-23CCC5FC83E0}">
      <text>
        <r>
          <rPr>
            <b/>
            <sz val="9"/>
            <color indexed="81"/>
            <rFont val="Tahoma"/>
            <family val="2"/>
          </rPr>
          <t>Deck lifting, settling, or uneven - appears related to the deck itself and not the structural support below - requires removal and replacement of deck.</t>
        </r>
      </text>
    </comment>
    <comment ref="N20" authorId="0" shapeId="0" xr:uid="{00000000-0006-0000-0200-000016000000}">
      <text>
        <r>
          <rPr>
            <b/>
            <sz val="9"/>
            <color indexed="81"/>
            <rFont val="Tahoma"/>
            <family val="2"/>
          </rPr>
          <t>Visible evidence of a sagging or settled structure or depression in the floor line, requiring removal and replacement.</t>
        </r>
      </text>
    </comment>
    <comment ref="P20" authorId="0" shapeId="0" xr:uid="{00000000-0006-0000-0200-000017000000}">
      <text>
        <r>
          <rPr>
            <b/>
            <sz val="9"/>
            <color indexed="81"/>
            <rFont val="Tahoma"/>
            <family val="2"/>
          </rPr>
          <t>Visible evidence of a sagging or settled structure or depression in the floor line, requiring removal and replacement</t>
        </r>
      </text>
    </comment>
    <comment ref="C21" authorId="0" shapeId="0" xr:uid="{00000000-0006-0000-0200-000018000000}">
      <text>
        <r>
          <rPr>
            <b/>
            <sz val="9"/>
            <color indexed="81"/>
            <rFont val="Tahoma"/>
            <family val="2"/>
          </rPr>
          <t>The roof structure referring to the supporting structure and the deck but excluding the roofing itself.</t>
        </r>
      </text>
    </comment>
    <comment ref="H21" authorId="1" shapeId="0" xr:uid="{7940CC17-8C60-4D22-9834-B5FEE3EB3338}">
      <text>
        <r>
          <rPr>
            <b/>
            <sz val="9"/>
            <color indexed="81"/>
            <rFont val="Tahoma"/>
            <family val="2"/>
          </rPr>
          <t xml:space="preserve">Minor issue observed requiring maintenance or repair. Does not require removal of deck. </t>
        </r>
      </text>
    </comment>
    <comment ref="J21" authorId="1" shapeId="0" xr:uid="{509A97B8-63F4-44CE-B9F2-D1DA12F44D2C}">
      <text>
        <r>
          <rPr>
            <b/>
            <sz val="9"/>
            <color rgb="FF000000"/>
            <rFont val="Tahoma"/>
            <family val="2"/>
          </rPr>
          <t>Roof decking is separating from roof system requiring repair not replacement</t>
        </r>
      </text>
    </comment>
    <comment ref="L21" authorId="0" shapeId="0" xr:uid="{00000000-0006-0000-0200-000019000000}">
      <text>
        <r>
          <rPr>
            <b/>
            <sz val="9"/>
            <color indexed="81"/>
            <rFont val="Tahoma"/>
            <family val="2"/>
          </rPr>
          <t>Evidence of a spongy decking from water intrusion - replacing the deck but not the trusses.</t>
        </r>
      </text>
    </comment>
    <comment ref="N21" authorId="0" shapeId="0" xr:uid="{00000000-0006-0000-0200-00001A000000}">
      <text>
        <r>
          <rPr>
            <b/>
            <sz val="9"/>
            <color indexed="81"/>
            <rFont val="Tahoma"/>
            <family val="2"/>
          </rPr>
          <t>Visible evidence of a sagging structure or depression in the roof line, requiring removal and replacement.</t>
        </r>
      </text>
    </comment>
    <comment ref="P21" authorId="0" shapeId="0" xr:uid="{00000000-0006-0000-0200-00001B000000}">
      <text>
        <r>
          <rPr>
            <b/>
            <sz val="9"/>
            <color indexed="81"/>
            <rFont val="Tahoma"/>
            <family val="2"/>
          </rPr>
          <t>Visible evidence of a sagging structure or depression in the roof line, requiring removal and replacement</t>
        </r>
      </text>
    </comment>
    <comment ref="H22" authorId="1" shapeId="0" xr:uid="{C3BAA82C-B35C-4C17-9A2E-C809DE824D37}">
      <text>
        <r>
          <rPr>
            <b/>
            <sz val="9"/>
            <color rgb="FF000000"/>
            <rFont val="Tahoma"/>
            <family val="2"/>
          </rPr>
          <t xml:space="preserve">Minor issue observed requiring maintenance or repair. Does not require removal of deck. </t>
        </r>
      </text>
    </comment>
    <comment ref="J22" authorId="1" shapeId="0" xr:uid="{EAD81987-88C9-4087-ADD1-485E6C5FCDB2}">
      <text>
        <r>
          <rPr>
            <b/>
            <sz val="9"/>
            <color indexed="81"/>
            <rFont val="Tahoma"/>
            <family val="2"/>
          </rPr>
          <t>Roof decking is separating from roof system requiring repair not replacement</t>
        </r>
      </text>
    </comment>
    <comment ref="L22" authorId="0" shapeId="0" xr:uid="{00000000-0006-0000-0200-00001C000000}">
      <text>
        <r>
          <rPr>
            <b/>
            <sz val="9"/>
            <color indexed="81"/>
            <rFont val="Tahoma"/>
            <family val="2"/>
          </rPr>
          <t>Evidence of a flexing decking from water intrusion/rust - replacing the deck but not the trusses.</t>
        </r>
      </text>
    </comment>
    <comment ref="N22" authorId="0" shapeId="0" xr:uid="{00000000-0006-0000-0200-00001D000000}">
      <text>
        <r>
          <rPr>
            <b/>
            <sz val="9"/>
            <color indexed="81"/>
            <rFont val="Tahoma"/>
            <family val="2"/>
          </rPr>
          <t>Visible evidence of a sagging structure or depression in the roof line, requiring removal and replacement.</t>
        </r>
      </text>
    </comment>
    <comment ref="P22" authorId="0" shapeId="0" xr:uid="{00000000-0006-0000-0200-00001E000000}">
      <text>
        <r>
          <rPr>
            <b/>
            <sz val="9"/>
            <color indexed="81"/>
            <rFont val="Tahoma"/>
            <family val="2"/>
          </rPr>
          <t>Visible evidence of a sagging structure or depression in the roof line, requiring removal and replacement</t>
        </r>
      </text>
    </comment>
    <comment ref="H23" authorId="1" shapeId="0" xr:uid="{7BBA77CE-05AD-4B23-BAE4-1EBC9B19E8D3}">
      <text>
        <r>
          <rPr>
            <b/>
            <sz val="9"/>
            <color indexed="81"/>
            <rFont val="Tahoma"/>
            <family val="2"/>
          </rPr>
          <t xml:space="preserve">Minor issue observed requiring maintenance or repair. Does not require removal of deck. </t>
        </r>
      </text>
    </comment>
    <comment ref="J23" authorId="1" shapeId="0" xr:uid="{0C7F1425-210C-4195-A582-1CD805812B8F}">
      <text>
        <r>
          <rPr>
            <b/>
            <sz val="9"/>
            <color indexed="81"/>
            <rFont val="Tahoma"/>
            <family val="2"/>
          </rPr>
          <t>Roof decking is separating from roof system requiring repair not replacement</t>
        </r>
      </text>
    </comment>
    <comment ref="L23" authorId="0" shapeId="0" xr:uid="{00000000-0006-0000-0200-00001F000000}">
      <text>
        <r>
          <rPr>
            <b/>
            <sz val="9"/>
            <color indexed="81"/>
            <rFont val="Tahoma"/>
            <family val="2"/>
          </rPr>
          <t>Evidence of a spongy/spalling deck from water intrusion - replacing the deck but not the beams.</t>
        </r>
      </text>
    </comment>
    <comment ref="N23" authorId="0" shapeId="0" xr:uid="{00000000-0006-0000-0200-000020000000}">
      <text>
        <r>
          <rPr>
            <b/>
            <sz val="9"/>
            <color indexed="81"/>
            <rFont val="Tahoma"/>
            <family val="2"/>
          </rPr>
          <t>Visible evidence of a sagging structure or depression in the roof line, requiring removal and replacement.</t>
        </r>
      </text>
    </comment>
    <comment ref="P23" authorId="0" shapeId="0" xr:uid="{00000000-0006-0000-0200-000021000000}">
      <text>
        <r>
          <rPr>
            <b/>
            <sz val="9"/>
            <color indexed="81"/>
            <rFont val="Tahoma"/>
            <family val="2"/>
          </rPr>
          <t>Visible evidence of a sagging structure or depression in the roof line, requiring removal and replacement</t>
        </r>
      </text>
    </comment>
    <comment ref="H25" authorId="0" shapeId="0" xr:uid="{A5382720-0E0F-4D59-889B-9D6089E18415}">
      <text>
        <r>
          <rPr>
            <b/>
            <sz val="9"/>
            <color indexed="81"/>
            <rFont val="Tahoma"/>
            <family val="2"/>
          </rPr>
          <t>Surface is intact but finish is deteriorated - paint.</t>
        </r>
      </text>
    </comment>
    <comment ref="J25" authorId="0" shapeId="0" xr:uid="{FA37903D-A0CB-4FD7-9475-04E0D3681D06}">
      <text>
        <r>
          <rPr>
            <b/>
            <sz val="9"/>
            <color indexed="81"/>
            <rFont val="Tahoma"/>
            <family val="2"/>
          </rPr>
          <t>Cracks visible - route and patch prior to painting.</t>
        </r>
      </text>
    </comment>
    <comment ref="L25" authorId="0" shapeId="0" xr:uid="{00000000-0006-0000-0200-000023000000}">
      <text>
        <r>
          <rPr>
            <b/>
            <sz val="9"/>
            <color indexed="81"/>
            <rFont val="Tahoma"/>
            <family val="2"/>
          </rPr>
          <t>Major cracks visible - panel may need major repair or replacement</t>
        </r>
      </text>
    </comment>
    <comment ref="H26" authorId="0" shapeId="0" xr:uid="{55A19513-A559-4AB2-B0C2-95FF0A6D2EF3}">
      <text>
        <r>
          <rPr>
            <b/>
            <sz val="9"/>
            <color indexed="81"/>
            <rFont val="Tahoma"/>
            <family val="2"/>
          </rPr>
          <t>Surface is in tact but finish is deteriorated - paint.</t>
        </r>
      </text>
    </comment>
    <comment ref="J26" authorId="0" shapeId="0" xr:uid="{3B164756-98DB-400B-B81B-B8B949AA4DF1}">
      <text>
        <r>
          <rPr>
            <b/>
            <sz val="9"/>
            <color indexed="81"/>
            <rFont val="Tahoma"/>
            <family val="2"/>
          </rPr>
          <t>Some blocks are damaged, needing patch and repair prior to sealing or painting.</t>
        </r>
      </text>
    </comment>
    <comment ref="L26" authorId="0" shapeId="0" xr:uid="{00000000-0006-0000-0200-000025000000}">
      <text>
        <r>
          <rPr>
            <b/>
            <sz val="9"/>
            <color indexed="81"/>
            <rFont val="Tahoma"/>
            <family val="2"/>
          </rPr>
          <t>Sections are damaged, needing major repair or replacement prior to sealing or painting.</t>
        </r>
      </text>
    </comment>
    <comment ref="N26" authorId="0" shapeId="0" xr:uid="{00000000-0006-0000-0200-000026000000}">
      <text>
        <r>
          <rPr>
            <b/>
            <sz val="9"/>
            <color indexed="81"/>
            <rFont val="Tahoma"/>
            <family val="2"/>
          </rPr>
          <t>There is evidence of settling, failure, or a compromised structure that requires removal and replacement.</t>
        </r>
      </text>
    </comment>
    <comment ref="P26" authorId="0" shapeId="0" xr:uid="{00000000-0006-0000-0200-000027000000}">
      <text>
        <r>
          <rPr>
            <b/>
            <sz val="9"/>
            <color indexed="81"/>
            <rFont val="Tahoma"/>
            <family val="2"/>
          </rPr>
          <t>There is evidence of settling, failure, or a compromised structure that requires removal and replacement</t>
        </r>
      </text>
    </comment>
    <comment ref="H27" authorId="0" shapeId="0" xr:uid="{C0992792-B241-44E1-96CE-667BFC1AAE84}">
      <text>
        <r>
          <rPr>
            <b/>
            <sz val="9"/>
            <color indexed="81"/>
            <rFont val="Tahoma"/>
            <family val="2"/>
          </rPr>
          <t>Surface is in tact but finish is deteriorated - paint.</t>
        </r>
      </text>
    </comment>
    <comment ref="J27" authorId="0" shapeId="0" xr:uid="{497AECCC-949F-4564-B43B-4A633544DCB2}">
      <text>
        <r>
          <rPr>
            <b/>
            <sz val="9"/>
            <color indexed="81"/>
            <rFont val="Tahoma"/>
            <family val="2"/>
          </rPr>
          <t>A number of panels are damaged, requiring patch and repair prior to re-painting.</t>
        </r>
      </text>
    </comment>
    <comment ref="L27" authorId="0" shapeId="0" xr:uid="{00000000-0006-0000-0200-000029000000}">
      <text>
        <r>
          <rPr>
            <b/>
            <sz val="9"/>
            <color indexed="81"/>
            <rFont val="Tahoma"/>
            <family val="2"/>
          </rPr>
          <t>A number of panels are damaged, requiring major repair prior to re-painting.</t>
        </r>
      </text>
    </comment>
    <comment ref="N27" authorId="0" shapeId="0" xr:uid="{00000000-0006-0000-0200-00002A000000}">
      <text>
        <r>
          <rPr>
            <b/>
            <sz val="9"/>
            <color indexed="81"/>
            <rFont val="Tahoma"/>
            <family val="2"/>
          </rPr>
          <t>The panels are lifting or separating or otherwise losing their integrity - remove and replace.</t>
        </r>
      </text>
    </comment>
    <comment ref="P27" authorId="0" shapeId="0" xr:uid="{00000000-0006-0000-0200-00002B000000}">
      <text>
        <r>
          <rPr>
            <b/>
            <sz val="9"/>
            <color indexed="81"/>
            <rFont val="Tahoma"/>
            <family val="2"/>
          </rPr>
          <t>The panels are lifting or separating or otherwise losing their integrity - remove and replace</t>
        </r>
      </text>
    </comment>
    <comment ref="H28" authorId="0" shapeId="0" xr:uid="{81DEB147-19A2-46E2-BEA0-04E51A7995FA}">
      <text>
        <r>
          <rPr>
            <b/>
            <sz val="9"/>
            <color indexed="81"/>
            <rFont val="Tahoma"/>
            <family val="2"/>
          </rPr>
          <t>Surface is in tact but finish is deteriorated - paint.</t>
        </r>
      </text>
    </comment>
    <comment ref="J28" authorId="0" shapeId="0" xr:uid="{EBF5FB8C-E63A-4BDB-8D8A-08CCE8D0DB90}">
      <text>
        <r>
          <rPr>
            <b/>
            <sz val="9"/>
            <color indexed="81"/>
            <rFont val="Tahoma"/>
            <family val="2"/>
          </rPr>
          <t>A number of panels are damaged, requiring patch and repair prior to re-painting.</t>
        </r>
      </text>
    </comment>
    <comment ref="L28" authorId="0" shapeId="0" xr:uid="{00000000-0006-0000-0200-00002D000000}">
      <text>
        <r>
          <rPr>
            <b/>
            <sz val="9"/>
            <color indexed="81"/>
            <rFont val="Tahoma"/>
            <family val="2"/>
          </rPr>
          <t>A number of panels are damaged, requiring major repair prior to re-painting.</t>
        </r>
      </text>
    </comment>
    <comment ref="N28" authorId="0" shapeId="0" xr:uid="{00000000-0006-0000-0200-00002E000000}">
      <text>
        <r>
          <rPr>
            <b/>
            <sz val="9"/>
            <color indexed="81"/>
            <rFont val="Tahoma"/>
            <family val="2"/>
          </rPr>
          <t>The panels are lifting or separating or otherwise losing their integrity - remove and replace.</t>
        </r>
      </text>
    </comment>
    <comment ref="P28" authorId="0" shapeId="0" xr:uid="{00000000-0006-0000-0200-00002F000000}">
      <text>
        <r>
          <rPr>
            <b/>
            <sz val="9"/>
            <color indexed="81"/>
            <rFont val="Tahoma"/>
            <family val="2"/>
          </rPr>
          <t>System in failure with evidence of water intrusion - remove and replace</t>
        </r>
      </text>
    </comment>
    <comment ref="H29" authorId="0" shapeId="0" xr:uid="{EC72B0E4-8EC1-46AC-B044-6E3D882A9F50}">
      <text>
        <r>
          <rPr>
            <b/>
            <sz val="9"/>
            <color indexed="81"/>
            <rFont val="Tahoma"/>
            <family val="2"/>
          </rPr>
          <t>Surface is in tact but finish is deteriorated - paint.</t>
        </r>
      </text>
    </comment>
    <comment ref="J29" authorId="0" shapeId="0" xr:uid="{5E9E997F-EA1A-4463-9A10-2365AEB79A33}">
      <text>
        <r>
          <rPr>
            <b/>
            <sz val="9"/>
            <color indexed="81"/>
            <rFont val="Tahoma"/>
            <family val="2"/>
          </rPr>
          <t>Cracks visible - route and patch prior to painting.</t>
        </r>
      </text>
    </comment>
    <comment ref="L29" authorId="0" shapeId="0" xr:uid="{00000000-0006-0000-0200-000031000000}">
      <text>
        <r>
          <rPr>
            <b/>
            <sz val="9"/>
            <color indexed="81"/>
            <rFont val="Tahoma"/>
            <family val="2"/>
          </rPr>
          <t>Large Cracks visible - route repair, fill, patch prior to painting.</t>
        </r>
      </text>
    </comment>
    <comment ref="N29" authorId="0" shapeId="0" xr:uid="{00000000-0006-0000-0200-000032000000}">
      <text>
        <r>
          <rPr>
            <b/>
            <sz val="9"/>
            <color indexed="81"/>
            <rFont val="Tahoma"/>
            <family val="2"/>
          </rPr>
          <t>System in failure with evidence of water intrusion - remove and replace.</t>
        </r>
      </text>
    </comment>
    <comment ref="P29" authorId="0" shapeId="0" xr:uid="{00000000-0006-0000-0200-000033000000}">
      <text>
        <r>
          <rPr>
            <b/>
            <sz val="9"/>
            <color indexed="81"/>
            <rFont val="Tahoma"/>
            <family val="2"/>
          </rPr>
          <t>Masonry visibly damaged and requiring removal and replacement</t>
        </r>
      </text>
    </comment>
    <comment ref="H30" authorId="0" shapeId="0" xr:uid="{8B7CAB3F-C272-4E9E-A8D6-871218AA9449}">
      <text>
        <r>
          <rPr>
            <b/>
            <sz val="9"/>
            <color indexed="81"/>
            <rFont val="Tahoma"/>
            <family val="2"/>
          </rPr>
          <t>Minor repairs needed to mortar, prep, and re-sealing.</t>
        </r>
      </text>
    </comment>
    <comment ref="J30" authorId="0" shapeId="0" xr:uid="{75897714-B681-40CF-8C76-5C095DB844E4}">
      <text>
        <r>
          <rPr>
            <b/>
            <sz val="9"/>
            <color indexed="81"/>
            <rFont val="Tahoma"/>
            <family val="2"/>
          </rPr>
          <t>Mortar missing in a majority of areas requiring complete re-pointing and sealing.</t>
        </r>
      </text>
    </comment>
    <comment ref="L30" authorId="0" shapeId="0" xr:uid="{00000000-0006-0000-0200-000035000000}">
      <text>
        <r>
          <rPr>
            <b/>
            <sz val="9"/>
            <color indexed="81"/>
            <rFont val="Tahoma"/>
            <family val="2"/>
          </rPr>
          <t>Mortar missing in a majority of areas causing structural damage requiring complete re-pointing and sealing.</t>
        </r>
      </text>
    </comment>
    <comment ref="N30" authorId="0" shapeId="0" xr:uid="{00000000-0006-0000-0200-000036000000}">
      <text>
        <r>
          <rPr>
            <b/>
            <sz val="9"/>
            <color indexed="81"/>
            <rFont val="Tahoma"/>
            <family val="2"/>
          </rPr>
          <t>Masonry visibly damaged and requiring removal and replacement.</t>
        </r>
      </text>
    </comment>
    <comment ref="P30" authorId="0" shapeId="0" xr:uid="{00000000-0006-0000-0200-000037000000}">
      <text>
        <r>
          <rPr>
            <b/>
            <sz val="9"/>
            <color indexed="81"/>
            <rFont val="Tahoma"/>
            <family val="2"/>
          </rPr>
          <t>The structural integrity of the frame is damaged, requiring the full replacement of the window unit</t>
        </r>
      </text>
    </comment>
    <comment ref="D31" authorId="1" shapeId="0" xr:uid="{8D09F93E-C898-4745-8C03-BDBFFC8B5565}">
      <text>
        <r>
          <rPr>
            <b/>
            <sz val="9"/>
            <color indexed="81"/>
            <rFont val="Tahoma"/>
            <family val="2"/>
          </rPr>
          <t>Enter # of wood windows. 1 window = a standard 5*4 or 20 Sq. Ft</t>
        </r>
        <r>
          <rPr>
            <sz val="9"/>
            <color indexed="81"/>
            <rFont val="Tahoma"/>
            <family val="2"/>
          </rPr>
          <t xml:space="preserve">
</t>
        </r>
      </text>
    </comment>
    <comment ref="H31" authorId="1" shapeId="0" xr:uid="{9542BAF4-FB16-4794-ACF2-FF0E5B073705}">
      <text>
        <r>
          <rPr>
            <b/>
            <sz val="9"/>
            <color indexed="81"/>
            <rFont val="Tahoma"/>
            <family val="2"/>
          </rPr>
          <t>Minor repairs to glazing, sealing, or sash. Does not require replacement</t>
        </r>
        <r>
          <rPr>
            <sz val="9"/>
            <color indexed="81"/>
            <rFont val="Tahoma"/>
            <family val="2"/>
          </rPr>
          <t xml:space="preserve">
</t>
        </r>
      </text>
    </comment>
    <comment ref="J31" authorId="0" shapeId="0" xr:uid="{00000000-0006-0000-0200-000038000000}">
      <text>
        <r>
          <rPr>
            <b/>
            <sz val="9"/>
            <color indexed="81"/>
            <rFont val="Tahoma"/>
            <family val="2"/>
          </rPr>
          <t>The glazing is double pane but is broken or fogged and requires replacement.</t>
        </r>
      </text>
    </comment>
    <comment ref="L31" authorId="0" shapeId="0" xr:uid="{00000000-0006-0000-0200-000039000000}">
      <text>
        <r>
          <rPr>
            <b/>
            <sz val="9"/>
            <color indexed="81"/>
            <rFont val="Tahoma"/>
            <family val="2"/>
          </rPr>
          <t>The glazing is single pane or the sash is damaged - either requires replacement of the sash and its glazing.</t>
        </r>
      </text>
    </comment>
    <comment ref="N31" authorId="0" shapeId="0" xr:uid="{00000000-0006-0000-0200-00003A000000}">
      <text>
        <r>
          <rPr>
            <b/>
            <sz val="9"/>
            <color indexed="81"/>
            <rFont val="Tahoma"/>
            <family val="2"/>
          </rPr>
          <t>The structural integrity of the frame is damaged, requiring the full replacement of the window unit.</t>
        </r>
      </text>
    </comment>
    <comment ref="P31" authorId="0" shapeId="0" xr:uid="{00000000-0006-0000-0200-00003B000000}">
      <text>
        <r>
          <rPr>
            <b/>
            <sz val="9"/>
            <color indexed="81"/>
            <rFont val="Tahoma"/>
            <family val="2"/>
          </rPr>
          <t>The structural integrity of the frame is damaged, requiring the full replacement of the window unit</t>
        </r>
      </text>
    </comment>
    <comment ref="D32" authorId="0" shapeId="0" xr:uid="{00000000-0006-0000-0200-00003C000000}">
      <text>
        <r>
          <rPr>
            <b/>
            <sz val="9"/>
            <color indexed="81"/>
            <rFont val="Tahoma"/>
            <family val="2"/>
          </rPr>
          <t>This assumes both individual aluminum windows and storefront systems.
Enter # of aluminum/steel windows. 1 window = a standard 5*4 or 20 Sq. Ft</t>
        </r>
      </text>
    </comment>
    <comment ref="H32" authorId="1" shapeId="0" xr:uid="{F632655A-B784-4B21-BF34-9CC881EF2A16}">
      <text>
        <r>
          <rPr>
            <b/>
            <sz val="9"/>
            <color indexed="81"/>
            <rFont val="Tahoma"/>
            <family val="2"/>
          </rPr>
          <t xml:space="preserve">Minor repairs to glazing, sealing, or sash. Does not require replacement
</t>
        </r>
      </text>
    </comment>
    <comment ref="J32" authorId="0" shapeId="0" xr:uid="{00000000-0006-0000-0200-00003D000000}">
      <text>
        <r>
          <rPr>
            <b/>
            <sz val="9"/>
            <color indexed="81"/>
            <rFont val="Tahoma"/>
            <family val="2"/>
          </rPr>
          <t>The glazing is double pane but is broken or fogged and requires replacement.</t>
        </r>
      </text>
    </comment>
    <comment ref="L32" authorId="0" shapeId="0" xr:uid="{00000000-0006-0000-0200-00003E000000}">
      <text>
        <r>
          <rPr>
            <b/>
            <sz val="9"/>
            <color indexed="81"/>
            <rFont val="Tahoma"/>
            <family val="2"/>
          </rPr>
          <t>The glazing is single pane or the sash is damaged - either requires replacement of the sash and its glazing.</t>
        </r>
      </text>
    </comment>
    <comment ref="N32" authorId="0" shapeId="0" xr:uid="{00000000-0006-0000-0200-00003F000000}">
      <text>
        <r>
          <rPr>
            <b/>
            <sz val="9"/>
            <color indexed="81"/>
            <rFont val="Tahoma"/>
            <family val="2"/>
          </rPr>
          <t>The structural integrity of the frame is damaged, requiring the full replacement of the window unit.</t>
        </r>
      </text>
    </comment>
    <comment ref="P32" authorId="0" shapeId="0" xr:uid="{00000000-0006-0000-0200-000040000000}">
      <text>
        <r>
          <rPr>
            <b/>
            <sz val="9"/>
            <color indexed="81"/>
            <rFont val="Tahoma"/>
            <family val="2"/>
          </rPr>
          <t>The structural integrity of the frame is damaged, requiring the full replacement of the window unit</t>
        </r>
      </text>
    </comment>
    <comment ref="D33" authorId="0" shapeId="0" xr:uid="{00000000-0006-0000-0200-000041000000}">
      <text>
        <r>
          <rPr>
            <b/>
            <sz val="9"/>
            <color indexed="81"/>
            <rFont val="Tahoma"/>
            <family val="2"/>
          </rPr>
          <t>This assumes a metal windows system clad with wood or vinyl.
Enter # of clad windows. 1 window = a standard 5*4 or 20 Sq. Ft</t>
        </r>
      </text>
    </comment>
    <comment ref="H33" authorId="1" shapeId="0" xr:uid="{27226CAE-EEA7-4E5C-A11C-CF092141B3D7}">
      <text>
        <r>
          <rPr>
            <b/>
            <sz val="9"/>
            <color indexed="81"/>
            <rFont val="Tahoma"/>
            <family val="2"/>
          </rPr>
          <t>Minor repairs to glazing, sealing, or sash. Does not require replacement</t>
        </r>
      </text>
    </comment>
    <comment ref="J33" authorId="0" shapeId="0" xr:uid="{00000000-0006-0000-0200-000042000000}">
      <text>
        <r>
          <rPr>
            <b/>
            <sz val="9"/>
            <color indexed="81"/>
            <rFont val="Tahoma"/>
            <family val="2"/>
          </rPr>
          <t>The glazing is double pane but is broken or fogged and requires replacement.</t>
        </r>
      </text>
    </comment>
    <comment ref="L33" authorId="0" shapeId="0" xr:uid="{00000000-0006-0000-0200-000043000000}">
      <text>
        <r>
          <rPr>
            <b/>
            <sz val="9"/>
            <color indexed="81"/>
            <rFont val="Tahoma"/>
            <family val="2"/>
          </rPr>
          <t>The glazing is single pane or the sash is damaged - either requires replacement of the sash and its glazing.</t>
        </r>
      </text>
    </comment>
    <comment ref="N33" authorId="0" shapeId="0" xr:uid="{00000000-0006-0000-0200-000044000000}">
      <text>
        <r>
          <rPr>
            <b/>
            <sz val="9"/>
            <color indexed="81"/>
            <rFont val="Tahoma"/>
            <family val="2"/>
          </rPr>
          <t>The structural integrity of the frame is damaged, requiring the full replacement of the window unit.</t>
        </r>
      </text>
    </comment>
    <comment ref="P33" authorId="0" shapeId="0" xr:uid="{00000000-0006-0000-0200-000045000000}">
      <text>
        <r>
          <rPr>
            <b/>
            <sz val="9"/>
            <color indexed="81"/>
            <rFont val="Tahoma"/>
            <family val="2"/>
          </rPr>
          <t>Settlement or displacement is evident</t>
        </r>
      </text>
    </comment>
    <comment ref="D34" authorId="1" shapeId="0" xr:uid="{A1F14C0A-7D1F-44CE-9CB7-5F98BC52C3AA}">
      <text>
        <r>
          <rPr>
            <b/>
            <sz val="9"/>
            <color indexed="81"/>
            <rFont val="Tahoma"/>
            <family val="2"/>
          </rPr>
          <t>Enter # of curtain wall windows. 1 window section = a standard 5*4 or 20 Sq. Ft</t>
        </r>
      </text>
    </comment>
    <comment ref="H34" authorId="1" shapeId="0" xr:uid="{63C7F404-65BD-49B6-81EC-18E2604B02B1}">
      <text>
        <r>
          <rPr>
            <b/>
            <sz val="9"/>
            <color indexed="81"/>
            <rFont val="Tahoma"/>
            <family val="2"/>
          </rPr>
          <t xml:space="preserve">Minor repairs to glazing, sealing, or sash. Does not require replacement
</t>
        </r>
      </text>
    </comment>
    <comment ref="J34" authorId="0" shapeId="0" xr:uid="{00000000-0006-0000-0200-000046000000}">
      <text>
        <r>
          <rPr>
            <b/>
            <sz val="9"/>
            <color indexed="81"/>
            <rFont val="Tahoma"/>
            <family val="2"/>
          </rPr>
          <t>Minor leaks at wall seams - re-caulk and re-seal.</t>
        </r>
      </text>
    </comment>
    <comment ref="L34" authorId="0" shapeId="0" xr:uid="{00000000-0006-0000-0200-000047000000}">
      <text>
        <r>
          <rPr>
            <b/>
            <sz val="9"/>
            <color indexed="81"/>
            <rFont val="Tahoma"/>
            <family val="2"/>
          </rPr>
          <t>Window panels fogged and require replacement.</t>
        </r>
      </text>
    </comment>
    <comment ref="N34" authorId="0" shapeId="0" xr:uid="{00000000-0006-0000-0200-000048000000}">
      <text>
        <r>
          <rPr>
            <b/>
            <sz val="9"/>
            <color indexed="81"/>
            <rFont val="Tahoma"/>
            <family val="2"/>
          </rPr>
          <t>Settlement or displacement is evident.</t>
        </r>
      </text>
    </comment>
    <comment ref="P34" authorId="0" shapeId="0" xr:uid="{00000000-0006-0000-0200-000049000000}">
      <text>
        <r>
          <rPr>
            <b/>
            <sz val="9"/>
            <color indexed="81"/>
            <rFont val="Tahoma"/>
            <family val="2"/>
          </rPr>
          <t>Door frame, door, and hardware are damaged and require replacement</t>
        </r>
      </text>
    </comment>
    <comment ref="D35" authorId="2" shapeId="0" xr:uid="{00000000-0006-0000-0200-00004A000000}">
      <text>
        <r>
          <rPr>
            <b/>
            <sz val="9"/>
            <color indexed="81"/>
            <rFont val="Tahoma"/>
            <family val="2"/>
          </rPr>
          <t>Apply to door count.</t>
        </r>
      </text>
    </comment>
    <comment ref="H35" authorId="1" shapeId="0" xr:uid="{98026BA2-9772-44AC-9EB6-13F781760C41}">
      <text>
        <r>
          <rPr>
            <b/>
            <sz val="9"/>
            <color indexed="81"/>
            <rFont val="Tahoma"/>
            <family val="2"/>
          </rPr>
          <t>Door hardware is damaged or non-functional and requires repair only.</t>
        </r>
        <r>
          <rPr>
            <sz val="9"/>
            <color indexed="81"/>
            <rFont val="Tahoma"/>
            <family val="2"/>
          </rPr>
          <t xml:space="preserve">
</t>
        </r>
      </text>
    </comment>
    <comment ref="J35" authorId="0" shapeId="0" xr:uid="{00000000-0006-0000-0200-00004B000000}">
      <text>
        <r>
          <rPr>
            <b/>
            <sz val="9"/>
            <color indexed="81"/>
            <rFont val="Tahoma"/>
            <family val="2"/>
          </rPr>
          <t>Door hardware is damaged or non-functional and requires replacement.</t>
        </r>
      </text>
    </comment>
    <comment ref="L35" authorId="0" shapeId="0" xr:uid="{00000000-0006-0000-0200-00004C000000}">
      <text>
        <r>
          <rPr>
            <b/>
            <sz val="9"/>
            <color indexed="81"/>
            <rFont val="Tahoma"/>
            <family val="2"/>
          </rPr>
          <t xml:space="preserve">Door panel and hardware are damaged and require replacement.
</t>
        </r>
      </text>
    </comment>
    <comment ref="N35" authorId="0" shapeId="0" xr:uid="{00000000-0006-0000-0200-00004D000000}">
      <text>
        <r>
          <rPr>
            <b/>
            <sz val="9"/>
            <color indexed="81"/>
            <rFont val="Tahoma"/>
            <family val="2"/>
          </rPr>
          <t>Door frame, door, and hardware are damaged and require replacement.</t>
        </r>
      </text>
    </comment>
    <comment ref="P35" authorId="0" shapeId="0" xr:uid="{00000000-0006-0000-0200-00004E000000}">
      <text>
        <r>
          <rPr>
            <b/>
            <sz val="9"/>
            <color indexed="81"/>
            <rFont val="Tahoma"/>
            <family val="2"/>
          </rPr>
          <t>Door frame, door, and hardware are damaged and require replacement</t>
        </r>
      </text>
    </comment>
    <comment ref="D36" authorId="2" shapeId="0" xr:uid="{00000000-0006-0000-0200-00004F000000}">
      <text>
        <r>
          <rPr>
            <b/>
            <sz val="9"/>
            <color indexed="81"/>
            <rFont val="Tahoma"/>
            <family val="2"/>
          </rPr>
          <t>Apply to door count.</t>
        </r>
      </text>
    </comment>
    <comment ref="H36" authorId="1" shapeId="0" xr:uid="{88AA3CEF-A4C1-4D56-9733-5A39DADC4338}">
      <text>
        <r>
          <rPr>
            <b/>
            <sz val="9"/>
            <color indexed="81"/>
            <rFont val="Tahoma"/>
            <family val="2"/>
          </rPr>
          <t xml:space="preserve">Door hardware is damaged or non-functional and requires repair only.
</t>
        </r>
      </text>
    </comment>
    <comment ref="J36" authorId="0" shapeId="0" xr:uid="{00000000-0006-0000-0200-000050000000}">
      <text>
        <r>
          <rPr>
            <b/>
            <sz val="9"/>
            <color indexed="81"/>
            <rFont val="Tahoma"/>
            <family val="2"/>
          </rPr>
          <t>Door hardware is damaged or non-functional and requires replacement.</t>
        </r>
      </text>
    </comment>
    <comment ref="L36" authorId="0" shapeId="0" xr:uid="{00000000-0006-0000-0200-000051000000}">
      <text>
        <r>
          <rPr>
            <b/>
            <sz val="9"/>
            <color indexed="81"/>
            <rFont val="Tahoma"/>
            <family val="2"/>
          </rPr>
          <t xml:space="preserve">Door panel and hardware are damaged and require replacement.
</t>
        </r>
      </text>
    </comment>
    <comment ref="N36" authorId="0" shapeId="0" xr:uid="{00000000-0006-0000-0200-000052000000}">
      <text>
        <r>
          <rPr>
            <b/>
            <sz val="9"/>
            <color indexed="81"/>
            <rFont val="Tahoma"/>
            <family val="2"/>
          </rPr>
          <t>Door frame, door, and hardware are damaged and require replacement.</t>
        </r>
      </text>
    </comment>
    <comment ref="P36" authorId="0" shapeId="0" xr:uid="{00000000-0006-0000-0200-000053000000}">
      <text>
        <r>
          <rPr>
            <b/>
            <sz val="9"/>
            <color indexed="81"/>
            <rFont val="Tahoma"/>
            <family val="2"/>
          </rPr>
          <t>Door frame, door, and hardware are damaged and require replacement</t>
        </r>
      </text>
    </comment>
    <comment ref="D37" authorId="2" shapeId="0" xr:uid="{00000000-0006-0000-0200-000054000000}">
      <text>
        <r>
          <rPr>
            <b/>
            <sz val="9"/>
            <color indexed="81"/>
            <rFont val="Tahoma"/>
            <family val="2"/>
          </rPr>
          <t>Apply to door count.</t>
        </r>
      </text>
    </comment>
    <comment ref="H37" authorId="1" shapeId="0" xr:uid="{F1FDAD03-3A55-48F6-95E7-A54D473A6DE6}">
      <text>
        <r>
          <rPr>
            <b/>
            <sz val="9"/>
            <color indexed="81"/>
            <rFont val="Tahoma"/>
            <family val="2"/>
          </rPr>
          <t>Minor Dings or Bends</t>
        </r>
        <r>
          <rPr>
            <sz val="9"/>
            <color indexed="81"/>
            <rFont val="Tahoma"/>
            <family val="2"/>
          </rPr>
          <t xml:space="preserve">
</t>
        </r>
      </text>
    </comment>
    <comment ref="J37" authorId="0" shapeId="0" xr:uid="{00000000-0006-0000-0200-000055000000}">
      <text>
        <r>
          <rPr>
            <b/>
            <sz val="9"/>
            <color indexed="81"/>
            <rFont val="Tahoma"/>
            <family val="2"/>
          </rPr>
          <t>Door hardware is damaged or non-functional and requires replacement.</t>
        </r>
      </text>
    </comment>
    <comment ref="L37" authorId="0" shapeId="0" xr:uid="{00000000-0006-0000-0200-000056000000}">
      <text>
        <r>
          <rPr>
            <b/>
            <sz val="9"/>
            <color indexed="81"/>
            <rFont val="Tahoma"/>
            <family val="2"/>
          </rPr>
          <t xml:space="preserve">Door panel and hardware are damaged and require replacement.
</t>
        </r>
      </text>
    </comment>
    <comment ref="N37" authorId="0" shapeId="0" xr:uid="{00000000-0006-0000-0200-000057000000}">
      <text>
        <r>
          <rPr>
            <b/>
            <sz val="9"/>
            <color indexed="81"/>
            <rFont val="Tahoma"/>
            <family val="2"/>
          </rPr>
          <t>Door frame, door, and hardware are damaged and require replacement.</t>
        </r>
      </text>
    </comment>
    <comment ref="D38" authorId="1" shapeId="0" xr:uid="{63C160E6-CB39-48BE-98B5-FD7EE2FD0B4C}">
      <text>
        <r>
          <rPr>
            <b/>
            <sz val="9"/>
            <color indexed="81"/>
            <rFont val="Tahoma"/>
            <family val="2"/>
          </rPr>
          <t>Apply to door count</t>
        </r>
      </text>
    </comment>
    <comment ref="H38" authorId="1" shapeId="0" xr:uid="{4C207965-D6BB-4770-A907-5E99DEBC75A7}">
      <text>
        <r>
          <rPr>
            <b/>
            <sz val="9"/>
            <color indexed="81"/>
            <rFont val="Tahoma"/>
            <family val="2"/>
          </rPr>
          <t>Minor Dings or Bends</t>
        </r>
        <r>
          <rPr>
            <sz val="9"/>
            <color indexed="81"/>
            <rFont val="Tahoma"/>
            <family val="2"/>
          </rPr>
          <t xml:space="preserve">
</t>
        </r>
      </text>
    </comment>
    <comment ref="J38" authorId="0" shapeId="0" xr:uid="{BF5623F3-027C-48D9-9746-6F2BEE502725}">
      <text>
        <r>
          <rPr>
            <b/>
            <sz val="9"/>
            <color indexed="81"/>
            <rFont val="Tahoma"/>
            <family val="2"/>
          </rPr>
          <t>Door hardware is damaged or non-functional and requires replacement.</t>
        </r>
      </text>
    </comment>
    <comment ref="L38" authorId="0" shapeId="0" xr:uid="{3445DE46-E532-4401-8838-96F4B083B916}">
      <text>
        <r>
          <rPr>
            <b/>
            <sz val="9"/>
            <color indexed="81"/>
            <rFont val="Tahoma"/>
            <family val="2"/>
          </rPr>
          <t xml:space="preserve">Door panel and hardware are damaged and require replacement.
</t>
        </r>
      </text>
    </comment>
    <comment ref="N38" authorId="0" shapeId="0" xr:uid="{4AE4A6CD-DFD6-4793-8165-03671DD7C09B}">
      <text>
        <r>
          <rPr>
            <b/>
            <sz val="9"/>
            <color indexed="81"/>
            <rFont val="Tahoma"/>
            <family val="2"/>
          </rPr>
          <t>Door track system, door panel, and hardware are damaged and require replacement.</t>
        </r>
      </text>
    </comment>
    <comment ref="D39" authorId="1" shapeId="0" xr:uid="{0AED4E4E-7545-4DAC-B6A4-E20FA29D2992}">
      <text>
        <r>
          <rPr>
            <b/>
            <sz val="9"/>
            <color indexed="81"/>
            <rFont val="Tahoma"/>
            <family val="2"/>
          </rPr>
          <t>Apply to door count</t>
        </r>
      </text>
    </comment>
    <comment ref="H39" authorId="1" shapeId="0" xr:uid="{F952A40B-590D-40BF-A0B9-A0A74E2E8232}">
      <text>
        <r>
          <rPr>
            <b/>
            <sz val="9"/>
            <color indexed="81"/>
            <rFont val="Tahoma"/>
            <family val="2"/>
          </rPr>
          <t>Minor Dings or Bends</t>
        </r>
        <r>
          <rPr>
            <sz val="9"/>
            <color indexed="81"/>
            <rFont val="Tahoma"/>
            <family val="2"/>
          </rPr>
          <t xml:space="preserve">
</t>
        </r>
      </text>
    </comment>
    <comment ref="J39" authorId="0" shapeId="0" xr:uid="{6A32476F-A937-48A3-A0D3-663863638A09}">
      <text>
        <r>
          <rPr>
            <b/>
            <sz val="9"/>
            <color indexed="81"/>
            <rFont val="Tahoma"/>
            <family val="2"/>
          </rPr>
          <t>Door hardware is damaged or non-functional and requires replacement.</t>
        </r>
      </text>
    </comment>
    <comment ref="L39" authorId="0" shapeId="0" xr:uid="{64ED82BE-AFDA-4BB1-9E4B-C66C825CD34F}">
      <text>
        <r>
          <rPr>
            <b/>
            <sz val="9"/>
            <color indexed="81"/>
            <rFont val="Tahoma"/>
            <family val="2"/>
          </rPr>
          <t xml:space="preserve">Door panel and hardware are damaged and require replacement.
</t>
        </r>
      </text>
    </comment>
    <comment ref="N39" authorId="0" shapeId="0" xr:uid="{FD9F1DDC-B393-4273-BA8D-5D69867171B0}">
      <text>
        <r>
          <rPr>
            <b/>
            <sz val="9"/>
            <color indexed="81"/>
            <rFont val="Tahoma"/>
            <family val="2"/>
          </rPr>
          <t>Door track system, door panel, and hardware are damaged and require replacement.</t>
        </r>
      </text>
    </comment>
    <comment ref="C41" authorId="0" shapeId="0" xr:uid="{00000000-0006-0000-0200-000059000000}">
      <text>
        <r>
          <rPr>
            <b/>
            <sz val="9"/>
            <color indexed="81"/>
            <rFont val="Tahoma"/>
            <family val="2"/>
          </rPr>
          <t>Assumes the insulation, roof covering, and associated flashings, gutters, and downspouts.</t>
        </r>
      </text>
    </comment>
    <comment ref="H41" authorId="0" shapeId="0" xr:uid="{00000000-0006-0000-0200-00005A000000}">
      <text>
        <r>
          <rPr>
            <b/>
            <sz val="9"/>
            <color indexed="81"/>
            <rFont val="Tahoma"/>
            <family val="2"/>
          </rPr>
          <t>Small number of shingles lifting and/or separation in a portion of flashing.</t>
        </r>
      </text>
    </comment>
    <comment ref="J41" authorId="0" shapeId="0" xr:uid="{00000000-0006-0000-0200-00005B000000}">
      <text>
        <r>
          <rPr>
            <b/>
            <sz val="9"/>
            <color indexed="81"/>
            <rFont val="Tahoma"/>
            <family val="2"/>
          </rPr>
          <t>Leaks in a specific area or zone related to poor detailing and or flashing.</t>
        </r>
      </text>
    </comment>
    <comment ref="L41" authorId="0" shapeId="0" xr:uid="{00000000-0006-0000-0200-00005C000000}">
      <text>
        <r>
          <rPr>
            <b/>
            <sz val="9"/>
            <color indexed="81"/>
            <rFont val="Tahoma"/>
            <family val="2"/>
          </rPr>
          <t>System in complete failure with multiple leaks and multiple examples of visible breaches in system - Replace roof system OVER TOP OF EXISTING.</t>
        </r>
      </text>
    </comment>
    <comment ref="N41" authorId="0" shapeId="0" xr:uid="{00000000-0006-0000-0200-00005D000000}">
      <text>
        <r>
          <rPr>
            <b/>
            <sz val="9"/>
            <color indexed="81"/>
            <rFont val="Tahoma"/>
            <family val="2"/>
          </rPr>
          <t>System in complete failure with multiple leaks and multiple examples of visible breaches in system - REMOVE AND REPLACE roof system.</t>
        </r>
      </text>
    </comment>
    <comment ref="P41" authorId="0" shapeId="0" xr:uid="{00000000-0006-0000-0200-000058000000}">
      <text>
        <r>
          <rPr>
            <b/>
            <sz val="9"/>
            <color indexed="81"/>
            <rFont val="Tahoma"/>
            <family val="2"/>
          </rPr>
          <t>System in complete failure with multiple leaks and multiple examples of visible breaches in system - REMOVE AND Replace roof system</t>
        </r>
      </text>
    </comment>
    <comment ref="H42" authorId="0" shapeId="0" xr:uid="{059E8569-25B8-43D5-9625-288AEE03AAD2}">
      <text>
        <r>
          <rPr>
            <b/>
            <sz val="9"/>
            <color indexed="81"/>
            <rFont val="Tahoma"/>
            <family val="2"/>
          </rPr>
          <t>Small number of shingles lifting and/or separation in a portion of flashing.</t>
        </r>
      </text>
    </comment>
    <comment ref="J42" authorId="0" shapeId="0" xr:uid="{448337BB-00CB-401D-B9BB-49BE1BEE8D9A}">
      <text>
        <r>
          <rPr>
            <b/>
            <sz val="9"/>
            <color indexed="81"/>
            <rFont val="Tahoma"/>
            <family val="2"/>
          </rPr>
          <t>Leaks in a specific area or zone related to poor detailing and or flashing.</t>
        </r>
      </text>
    </comment>
    <comment ref="L42" authorId="0" shapeId="0" xr:uid="{772BB806-55D5-49D8-94B1-1F6BA76687D0}">
      <text>
        <r>
          <rPr>
            <b/>
            <sz val="9"/>
            <color indexed="81"/>
            <rFont val="Tahoma"/>
            <family val="2"/>
          </rPr>
          <t>System in complete failure with multiple leaks and multiple examples of visible breaches in system - Replace roof system OVER TOP OF EXISTING.</t>
        </r>
      </text>
    </comment>
    <comment ref="N42" authorId="0" shapeId="0" xr:uid="{D6E381DE-430A-48FD-981F-23831A73E293}">
      <text>
        <r>
          <rPr>
            <b/>
            <sz val="9"/>
            <color indexed="81"/>
            <rFont val="Tahoma"/>
            <family val="2"/>
          </rPr>
          <t>System in complete failure with multiple leaks and multiple examples of visible breaches in system - REMOVE AND REPLACE roof system.</t>
        </r>
      </text>
    </comment>
    <comment ref="P42" authorId="0" shapeId="0" xr:uid="{00000000-0006-0000-0200-00005E000000}">
      <text>
        <r>
          <rPr>
            <b/>
            <sz val="9"/>
            <color indexed="81"/>
            <rFont val="Tahoma"/>
            <family val="2"/>
          </rPr>
          <t>System in complete failure with multiple leaks and multiple examples of visible breaches in system - REMOVE AND Replace roof system</t>
        </r>
      </text>
    </comment>
    <comment ref="H43" authorId="0" shapeId="0" xr:uid="{DDC0B63E-8C76-41FE-9185-ABF9316E149D}">
      <text>
        <r>
          <rPr>
            <b/>
            <sz val="9"/>
            <color indexed="81"/>
            <rFont val="Tahoma"/>
            <family val="2"/>
          </rPr>
          <t>Small number of shingles lifting and/or separation in a portion of flashing.</t>
        </r>
      </text>
    </comment>
    <comment ref="J43" authorId="0" shapeId="0" xr:uid="{220CDFB2-13ED-434C-AE98-DC6685AD2050}">
      <text>
        <r>
          <rPr>
            <b/>
            <sz val="9"/>
            <color indexed="81"/>
            <rFont val="Tahoma"/>
            <family val="2"/>
          </rPr>
          <t>Leaks in a specific area or zone related to poor detailing and or flashing.</t>
        </r>
      </text>
    </comment>
    <comment ref="L43" authorId="0" shapeId="0" xr:uid="{06AFC062-6A4A-4A7F-877E-60D029130681}">
      <text>
        <r>
          <rPr>
            <b/>
            <sz val="9"/>
            <color indexed="81"/>
            <rFont val="Tahoma"/>
            <family val="2"/>
          </rPr>
          <t>System in complete failure with multiple leaks and multiple examples of visible breaches in system - Replace roof system OVER TOP OF EXISTING.</t>
        </r>
      </text>
    </comment>
    <comment ref="N43" authorId="0" shapeId="0" xr:uid="{4AD57F60-5E56-468F-B6D7-9DFCEBA7CA58}">
      <text>
        <r>
          <rPr>
            <b/>
            <sz val="9"/>
            <color indexed="81"/>
            <rFont val="Tahoma"/>
            <family val="2"/>
          </rPr>
          <t>System in complete failure with multiple leaks and multiple examples of visible breaches in system - REMOVE AND REPLACE roof system.</t>
        </r>
      </text>
    </comment>
    <comment ref="H44" authorId="1" shapeId="0" xr:uid="{A9EC3E3F-7548-4F4B-91D3-306A4192FAFB}">
      <text>
        <r>
          <rPr>
            <b/>
            <sz val="9"/>
            <color indexed="81"/>
            <rFont val="Tahoma"/>
            <family val="2"/>
          </rPr>
          <t>Minor tile cracking or seam seal deteriorating</t>
        </r>
        <r>
          <rPr>
            <sz val="9"/>
            <color indexed="81"/>
            <rFont val="Tahoma"/>
            <family val="2"/>
          </rPr>
          <t xml:space="preserve">
</t>
        </r>
      </text>
    </comment>
    <comment ref="J44" authorId="0" shapeId="0" xr:uid="{1C9F4EE1-4545-4AC4-9DCF-C3AAC866A682}">
      <text>
        <r>
          <rPr>
            <b/>
            <sz val="9"/>
            <color indexed="81"/>
            <rFont val="Tahoma"/>
            <family val="2"/>
          </rPr>
          <t>Leaks occurring at isolated areas requiring grout removal and re-grout at isolated tile locations.</t>
        </r>
      </text>
    </comment>
    <comment ref="L44" authorId="1" shapeId="0" xr:uid="{57823130-5D31-46C0-819A-37A269D042FD}">
      <text>
        <r>
          <rPr>
            <b/>
            <sz val="9"/>
            <color indexed="81"/>
            <rFont val="Tahoma"/>
            <family val="2"/>
          </rPr>
          <t>Sections have lost their structural integrity and are separating causing water intrusion</t>
        </r>
        <r>
          <rPr>
            <sz val="9"/>
            <color indexed="81"/>
            <rFont val="Tahoma"/>
            <family val="2"/>
          </rPr>
          <t xml:space="preserve">
</t>
        </r>
      </text>
    </comment>
    <comment ref="N44" authorId="0" shapeId="0" xr:uid="{81F78ECB-07EA-4E19-8DCA-3A4D619E7D0A}">
      <text>
        <r>
          <rPr>
            <b/>
            <sz val="9"/>
            <color indexed="81"/>
            <rFont val="Tahoma"/>
            <family val="2"/>
          </rPr>
          <t>Tiles are cracked, loose, or damaged and require removal and replacement.</t>
        </r>
      </text>
    </comment>
    <comment ref="H45" authorId="0" shapeId="0" xr:uid="{00000000-0006-0000-0200-00005F000000}">
      <text>
        <r>
          <rPr>
            <b/>
            <sz val="9"/>
            <color indexed="81"/>
            <rFont val="Tahoma"/>
            <family val="2"/>
          </rPr>
          <t>Minor blistering requiring isolated patches.</t>
        </r>
      </text>
    </comment>
    <comment ref="J45" authorId="0" shapeId="0" xr:uid="{00000000-0006-0000-0200-000060000000}">
      <text>
        <r>
          <rPr>
            <b/>
            <sz val="9"/>
            <color indexed="81"/>
            <rFont val="Tahoma"/>
            <family val="2"/>
          </rPr>
          <t>Leaks in a specific area or zone related to poor detailing and or flashing or unchecked blisters.</t>
        </r>
      </text>
    </comment>
    <comment ref="L45" authorId="0" shapeId="0" xr:uid="{00000000-0006-0000-0200-000061000000}">
      <text>
        <r>
          <rPr>
            <b/>
            <sz val="9"/>
            <color indexed="81"/>
            <rFont val="Tahoma"/>
            <family val="2"/>
          </rPr>
          <t>System in complete failure with multiple leaks and multiple examples of visible breaches in system - Replace roof system OVER TOP OF EXISTING.</t>
        </r>
      </text>
    </comment>
    <comment ref="N45" authorId="0" shapeId="0" xr:uid="{00000000-0006-0000-0200-000062000000}">
      <text>
        <r>
          <rPr>
            <b/>
            <sz val="9"/>
            <color indexed="81"/>
            <rFont val="Tahoma"/>
            <family val="2"/>
          </rPr>
          <t>System in complete failure with multiple leaks and multiple examples of visible breaches in system - REMOVE AND REPLACE
roof system.</t>
        </r>
      </text>
    </comment>
    <comment ref="H46" authorId="0" shapeId="0" xr:uid="{00000000-0006-0000-0200-000064000000}">
      <text>
        <r>
          <rPr>
            <b/>
            <sz val="9"/>
            <color indexed="81"/>
            <rFont val="Tahoma"/>
            <family val="2"/>
          </rPr>
          <t>Minor blistering requiring isolated patches.</t>
        </r>
      </text>
    </comment>
    <comment ref="J46" authorId="0" shapeId="0" xr:uid="{00000000-0006-0000-0200-000065000000}">
      <text>
        <r>
          <rPr>
            <b/>
            <sz val="9"/>
            <color indexed="81"/>
            <rFont val="Tahoma"/>
            <family val="2"/>
          </rPr>
          <t>Leaks in a specific area or zone related to poor detailing and or flashing or seam separation.</t>
        </r>
      </text>
    </comment>
    <comment ref="L46" authorId="0" shapeId="0" xr:uid="{00000000-0006-0000-0200-000066000000}">
      <text>
        <r>
          <rPr>
            <b/>
            <sz val="9"/>
            <color indexed="81"/>
            <rFont val="Tahoma"/>
            <family val="2"/>
          </rPr>
          <t>System in complete failure with multiple leaks and multiple examples of visible breaches in system - Prep and re-coat roof system OVER TOP OF EXISTING.</t>
        </r>
      </text>
    </comment>
    <comment ref="N46" authorId="0" shapeId="0" xr:uid="{00000000-0006-0000-0200-000067000000}">
      <text>
        <r>
          <rPr>
            <b/>
            <sz val="9"/>
            <color indexed="81"/>
            <rFont val="Tahoma"/>
            <family val="2"/>
          </rPr>
          <t>System in complete failure with multiple leaks and multiple examples of visible breaches in system - REMOVE AND REPLACE roof system.</t>
        </r>
      </text>
    </comment>
    <comment ref="P46" authorId="0" shapeId="0" xr:uid="{00000000-0006-0000-0200-000063000000}">
      <text>
        <r>
          <rPr>
            <b/>
            <sz val="9"/>
            <color indexed="81"/>
            <rFont val="Tahoma"/>
            <family val="2"/>
          </rPr>
          <t>System in complete failure with multiple leaks and multiple examples of visible breaches in system - REMOVE AND Replace roof system</t>
        </r>
      </text>
    </comment>
    <comment ref="H47" authorId="1" shapeId="0" xr:uid="{6079EBE5-637C-4AC5-9A1B-2A0DF317648A}">
      <text>
        <r>
          <rPr>
            <b/>
            <sz val="9"/>
            <color indexed="81"/>
            <rFont val="Tahoma"/>
            <family val="2"/>
          </rPr>
          <t>Repair or replace caulking or seam seal</t>
        </r>
      </text>
    </comment>
    <comment ref="J47" authorId="0" shapeId="0" xr:uid="{00000000-0006-0000-0200-000069000000}">
      <text>
        <r>
          <rPr>
            <b/>
            <sz val="9"/>
            <color indexed="81"/>
            <rFont val="Tahoma"/>
            <family val="2"/>
          </rPr>
          <t>Leaks are occurring and flashing at seams or transitions has separated requiring replacement of flashing and sealant.</t>
        </r>
      </text>
    </comment>
    <comment ref="L47" authorId="1" shapeId="0" xr:uid="{5A07B3E9-DBEE-4529-A8B3-DE097D26C778}">
      <text>
        <r>
          <rPr>
            <b/>
            <sz val="9"/>
            <color indexed="81"/>
            <rFont val="Tahoma"/>
            <family val="2"/>
          </rPr>
          <t>Sections are warping and leaks are occurring and flashing at seams or transitions has separated requiring replacement of flashing, panels and sealant.</t>
        </r>
      </text>
    </comment>
    <comment ref="N47" authorId="0" shapeId="0" xr:uid="{00000000-0006-0000-0200-00006A000000}">
      <text>
        <r>
          <rPr>
            <b/>
            <sz val="9"/>
            <color indexed="81"/>
            <rFont val="Tahoma"/>
            <family val="2"/>
          </rPr>
          <t>Panels have lifted or separated and water intrusion is evident.  Remove and replace panels and associated flashing.</t>
        </r>
      </text>
    </comment>
    <comment ref="P47" authorId="0" shapeId="0" xr:uid="{00000000-0006-0000-0200-000068000000}">
      <text>
        <r>
          <rPr>
            <b/>
            <sz val="9"/>
            <color indexed="81"/>
            <rFont val="Tahoma"/>
            <family val="2"/>
          </rPr>
          <t>Panels have lifted or separated and water intrusion is evident.  Remove and replace panels and associated flashing</t>
        </r>
      </text>
    </comment>
    <comment ref="H48" authorId="1" shapeId="0" xr:uid="{00DDBF23-2367-4AD2-8BF6-0E8B3E9B0C5B}">
      <text>
        <r>
          <rPr>
            <b/>
            <sz val="9"/>
            <color indexed="81"/>
            <rFont val="Tahoma"/>
            <family val="2"/>
          </rPr>
          <t>Minor tile cracking or seam seal deteriorating</t>
        </r>
      </text>
    </comment>
    <comment ref="J48" authorId="0" shapeId="0" xr:uid="{00000000-0006-0000-0200-00006C000000}">
      <text>
        <r>
          <rPr>
            <b/>
            <sz val="9"/>
            <color indexed="81"/>
            <rFont val="Tahoma"/>
            <family val="2"/>
          </rPr>
          <t>Leaks occurring at isolated areas requiring grout removal and re-grout at isolated tile locations.</t>
        </r>
      </text>
    </comment>
    <comment ref="L48" authorId="1" shapeId="0" xr:uid="{B065165A-C704-4549-90E7-C11D79FEC25C}">
      <text>
        <r>
          <rPr>
            <b/>
            <sz val="9"/>
            <color indexed="81"/>
            <rFont val="Tahoma"/>
            <family val="2"/>
          </rPr>
          <t>Sections have lost their structural integrity and are separating causing water intrusion</t>
        </r>
      </text>
    </comment>
    <comment ref="N48" authorId="0" shapeId="0" xr:uid="{00000000-0006-0000-0200-00006D000000}">
      <text>
        <r>
          <rPr>
            <b/>
            <sz val="9"/>
            <color indexed="81"/>
            <rFont val="Tahoma"/>
            <family val="2"/>
          </rPr>
          <t>Tiles are cracked, loose, or damaged and require removal and replacement.</t>
        </r>
      </text>
    </comment>
    <comment ref="P48" authorId="0" shapeId="0" xr:uid="{00000000-0006-0000-0200-00006B000000}">
      <text>
        <r>
          <rPr>
            <b/>
            <sz val="9"/>
            <color indexed="81"/>
            <rFont val="Tahoma"/>
            <family val="2"/>
          </rPr>
          <t>Tiles are cracked, loose, or damaged and require removal and replacement</t>
        </r>
      </text>
    </comment>
    <comment ref="D49" authorId="2" shapeId="0" xr:uid="{00000000-0006-0000-0200-00006F000000}">
      <text>
        <r>
          <rPr>
            <b/>
            <sz val="9"/>
            <color indexed="81"/>
            <rFont val="Tahoma"/>
            <family val="2"/>
          </rPr>
          <t>Based on building's gross square footage.</t>
        </r>
      </text>
    </comment>
    <comment ref="H49" authorId="1" shapeId="0" xr:uid="{213786DE-E1B6-403D-900D-E6A81F094E6D}">
      <text>
        <r>
          <rPr>
            <b/>
            <sz val="9"/>
            <color indexed="81"/>
            <rFont val="Tahoma"/>
            <family val="2"/>
          </rPr>
          <t>Minor leaking is occurring, requiring re-caulk and re-seal.</t>
        </r>
      </text>
    </comment>
    <comment ref="J49" authorId="0" shapeId="0" xr:uid="{00000000-0006-0000-0200-000070000000}">
      <text>
        <r>
          <rPr>
            <b/>
            <sz val="9"/>
            <color indexed="81"/>
            <rFont val="Tahoma"/>
            <family val="2"/>
          </rPr>
          <t>Minor leaking is occurring, requiring repair and re-caulk and re-seal.</t>
        </r>
      </text>
    </comment>
    <comment ref="L49" authorId="1" shapeId="0" xr:uid="{4C6745A3-E68B-4068-B12F-D712364FCB86}">
      <text>
        <r>
          <rPr>
            <b/>
            <sz val="9"/>
            <color indexed="81"/>
            <rFont val="Tahoma"/>
            <family val="2"/>
          </rPr>
          <t xml:space="preserve">Frame or glass is starting to loose its structural integrity requiring major repair. </t>
        </r>
        <r>
          <rPr>
            <sz val="9"/>
            <color indexed="81"/>
            <rFont val="Tahoma"/>
            <family val="2"/>
          </rPr>
          <t xml:space="preserve">
</t>
        </r>
      </text>
    </comment>
    <comment ref="N49" authorId="0" shapeId="0" xr:uid="{00000000-0006-0000-0200-000071000000}">
      <text>
        <r>
          <rPr>
            <b/>
            <sz val="9"/>
            <color indexed="81"/>
            <rFont val="Tahoma"/>
            <family val="2"/>
          </rPr>
          <t>The panes or framing are damaged beyond repair and requires replacement.</t>
        </r>
      </text>
    </comment>
    <comment ref="P49" authorId="0" shapeId="0" xr:uid="{00000000-0006-0000-0200-00006E000000}">
      <text>
        <r>
          <rPr>
            <b/>
            <sz val="9"/>
            <color indexed="81"/>
            <rFont val="Tahoma"/>
            <family val="2"/>
          </rPr>
          <t>The panes or framing are damaged beyond repair and requires replacement</t>
        </r>
      </text>
    </comment>
    <comment ref="D50" authorId="2" shapeId="0" xr:uid="{00000000-0006-0000-0200-000073000000}">
      <text>
        <r>
          <rPr>
            <b/>
            <sz val="9"/>
            <color indexed="81"/>
            <rFont val="Tahoma"/>
            <family val="2"/>
          </rPr>
          <t xml:space="preserve">Apply to access hatch count. </t>
        </r>
      </text>
    </comment>
    <comment ref="H50" authorId="1" shapeId="0" xr:uid="{032CC8AF-1384-4D8E-8E5E-EBCF81E2F817}">
      <text>
        <r>
          <rPr>
            <b/>
            <sz val="9"/>
            <color indexed="81"/>
            <rFont val="Tahoma"/>
            <family val="2"/>
          </rPr>
          <t>Components are worn or damaged requiring repair</t>
        </r>
      </text>
    </comment>
    <comment ref="J50" authorId="1" shapeId="0" xr:uid="{4AAAD8FF-725A-433E-8D35-14335B2DC8E5}">
      <text>
        <r>
          <rPr>
            <b/>
            <sz val="9"/>
            <color indexed="81"/>
            <rFont val="Tahoma"/>
            <family val="2"/>
          </rPr>
          <t>Components are damaged requiring replacement</t>
        </r>
      </text>
    </comment>
    <comment ref="L50" authorId="1" shapeId="0" xr:uid="{1E5E65F5-83A1-4EDD-89A0-EF45539F7929}">
      <text>
        <r>
          <rPr>
            <b/>
            <sz val="9"/>
            <color indexed="81"/>
            <rFont val="Tahoma"/>
            <family val="2"/>
          </rPr>
          <t>Frame or hatch is starting to loose its structural integrity requiring repair</t>
        </r>
      </text>
    </comment>
    <comment ref="N50" authorId="0" shapeId="0" xr:uid="{00000000-0006-0000-0200-000074000000}">
      <text>
        <r>
          <rPr>
            <b/>
            <sz val="9"/>
            <color indexed="81"/>
            <rFont val="Tahoma"/>
            <family val="2"/>
          </rPr>
          <t>The door is non-functional or damaged beyond repair and requires replacement.</t>
        </r>
      </text>
    </comment>
    <comment ref="P50" authorId="0" shapeId="0" xr:uid="{00000000-0006-0000-0200-000072000000}">
      <text>
        <r>
          <rPr>
            <b/>
            <sz val="9"/>
            <color indexed="81"/>
            <rFont val="Tahoma"/>
            <family val="2"/>
          </rPr>
          <t>The door is non-functional or damaged beyond repair and requires replacement</t>
        </r>
      </text>
    </comment>
    <comment ref="H53" authorId="1" shapeId="0" xr:uid="{47997B32-D1CF-47B0-8EB5-30050F37B10C}">
      <text>
        <r>
          <rPr>
            <b/>
            <sz val="9"/>
            <color indexed="81"/>
            <rFont val="Tahoma"/>
            <family val="2"/>
          </rPr>
          <t>Minor Damage not requiring replacement of frame</t>
        </r>
      </text>
    </comment>
    <comment ref="J53" authorId="1" shapeId="0" xr:uid="{ADA0F1A6-4C76-4932-880A-4B1D5DD0009A}">
      <text>
        <r>
          <rPr>
            <b/>
            <sz val="9"/>
            <color indexed="81"/>
            <rFont val="Tahoma"/>
            <family val="2"/>
          </rPr>
          <t>There are some sections which are damaged and requires a strategic repair</t>
        </r>
      </text>
    </comment>
    <comment ref="L53" authorId="1" shapeId="0" xr:uid="{C97A5EF2-2CC3-4059-AEBF-403729F04727}">
      <text>
        <r>
          <rPr>
            <b/>
            <sz val="9"/>
            <color indexed="81"/>
            <rFont val="Tahoma"/>
            <family val="2"/>
          </rPr>
          <t xml:space="preserve">There are some sections which are damaged and requires a strategic removal and replacement
</t>
        </r>
      </text>
    </comment>
    <comment ref="N53" authorId="0" shapeId="0" xr:uid="{00000000-0006-0000-0200-000076000000}">
      <text>
        <r>
          <rPr>
            <b/>
            <sz val="9"/>
            <color indexed="81"/>
            <rFont val="Tahoma"/>
            <family val="2"/>
          </rPr>
          <t>There is evidence of settling, failure, or a compromised structure that requires removal and replacement.</t>
        </r>
      </text>
    </comment>
    <comment ref="P53" authorId="0" shapeId="0" xr:uid="{00000000-0006-0000-0200-000075000000}">
      <text>
        <r>
          <rPr>
            <b/>
            <sz val="9"/>
            <color indexed="81"/>
            <rFont val="Tahoma"/>
            <family val="2"/>
          </rPr>
          <t>There is evidence of settling, failure, or a compromised structure that requires removal and replacement</t>
        </r>
      </text>
    </comment>
    <comment ref="H54" authorId="1" shapeId="0" xr:uid="{3746B074-22B6-4CA4-919F-9B1978BA1495}">
      <text>
        <r>
          <rPr>
            <b/>
            <sz val="9"/>
            <color indexed="81"/>
            <rFont val="Tahoma"/>
            <family val="2"/>
          </rPr>
          <t>Minor Damage not requiring replacement of section</t>
        </r>
      </text>
    </comment>
    <comment ref="J54" authorId="1" shapeId="0" xr:uid="{7707674F-8436-426D-9E6C-B08193726C43}">
      <text>
        <r>
          <rPr>
            <b/>
            <sz val="9"/>
            <color indexed="81"/>
            <rFont val="Tahoma"/>
            <family val="2"/>
          </rPr>
          <t xml:space="preserve">Cracking is evident which is affecting the wall construction </t>
        </r>
        <r>
          <rPr>
            <sz val="9"/>
            <color indexed="81"/>
            <rFont val="Tahoma"/>
            <family val="2"/>
          </rPr>
          <t xml:space="preserve">
</t>
        </r>
      </text>
    </comment>
    <comment ref="L54" authorId="0" shapeId="0" xr:uid="{00000000-0006-0000-0200-000078000000}">
      <text>
        <r>
          <rPr>
            <b/>
            <sz val="9"/>
            <color indexed="81"/>
            <rFont val="Tahoma"/>
            <family val="2"/>
          </rPr>
          <t>There are some blocks that are damaged and requires a strategic removal and replacement.</t>
        </r>
      </text>
    </comment>
    <comment ref="N54" authorId="0" shapeId="0" xr:uid="{00000000-0006-0000-0200-000079000000}">
      <text>
        <r>
          <rPr>
            <b/>
            <sz val="9"/>
            <color indexed="81"/>
            <rFont val="Tahoma"/>
            <family val="2"/>
          </rPr>
          <t>There is evidence of settling, failure, or a compromised structure that requires removal and replacement.</t>
        </r>
      </text>
    </comment>
    <comment ref="P54" authorId="0" shapeId="0" xr:uid="{00000000-0006-0000-0200-000077000000}">
      <text>
        <r>
          <rPr>
            <b/>
            <sz val="9"/>
            <color indexed="81"/>
            <rFont val="Tahoma"/>
            <family val="2"/>
          </rPr>
          <t>There is evidence of settling, failure, or a compromised structure that requires removal and replacement</t>
        </r>
      </text>
    </comment>
    <comment ref="H55" authorId="1" shapeId="0" xr:uid="{AE013756-F58B-4DE4-8F53-4EB1E7F53513}">
      <text>
        <r>
          <rPr>
            <b/>
            <sz val="9"/>
            <color indexed="81"/>
            <rFont val="Tahoma"/>
            <family val="2"/>
          </rPr>
          <t xml:space="preserve">Minor Damage not requiring replacement of frame
</t>
        </r>
      </text>
    </comment>
    <comment ref="J55" authorId="1" shapeId="0" xr:uid="{E5EF8DB9-35DE-43EF-BA52-9498BF527FA7}">
      <text>
        <r>
          <rPr>
            <b/>
            <sz val="9"/>
            <color indexed="81"/>
            <rFont val="Tahoma"/>
            <family val="2"/>
          </rPr>
          <t>There are some sections which are damaged and requires a strategic removal and replacement</t>
        </r>
      </text>
    </comment>
    <comment ref="L55" authorId="1" shapeId="0" xr:uid="{AE75BCFC-7E16-4FD7-A46F-87CDC6571E3E}">
      <text>
        <r>
          <rPr>
            <b/>
            <sz val="9"/>
            <color indexed="81"/>
            <rFont val="Tahoma"/>
            <family val="2"/>
          </rPr>
          <t>There is evidence of settling, failure, or a compromised structure that requires removal and replacement. Frame only no windows</t>
        </r>
        <r>
          <rPr>
            <sz val="9"/>
            <color indexed="81"/>
            <rFont val="Tahoma"/>
            <family val="2"/>
          </rPr>
          <t xml:space="preserve">
</t>
        </r>
      </text>
    </comment>
    <comment ref="N55" authorId="1" shapeId="0" xr:uid="{9A21ADF7-DE74-4899-BC77-AE4E2D7AD3C3}">
      <text>
        <r>
          <rPr>
            <b/>
            <sz val="9"/>
            <color indexed="81"/>
            <rFont val="Tahoma"/>
            <family val="2"/>
          </rPr>
          <t>There is evidence of settling, failure, or a compromised structure that requires removal and replacement. Including Windows</t>
        </r>
      </text>
    </comment>
    <comment ref="P55" authorId="0" shapeId="0" xr:uid="{00000000-0006-0000-0200-00007A000000}">
      <text>
        <r>
          <rPr>
            <b/>
            <sz val="9"/>
            <color indexed="81"/>
            <rFont val="Tahoma"/>
            <family val="2"/>
          </rPr>
          <t>Door frame, door, and hardware are damaged and require replacement</t>
        </r>
      </text>
    </comment>
    <comment ref="D56" authorId="2" shapeId="0" xr:uid="{00000000-0006-0000-0200-00007B000000}">
      <text>
        <r>
          <rPr>
            <b/>
            <sz val="9"/>
            <color indexed="81"/>
            <rFont val="Tahoma"/>
            <family val="2"/>
          </rPr>
          <t>Apply to door count.</t>
        </r>
      </text>
    </comment>
    <comment ref="H56" authorId="1" shapeId="0" xr:uid="{589413A3-4094-425E-9A6B-8BFE218A8BAB}">
      <text>
        <r>
          <rPr>
            <b/>
            <sz val="9"/>
            <color indexed="81"/>
            <rFont val="Tahoma"/>
            <family val="2"/>
          </rPr>
          <t>Door hardware is functional but damaged requiring repair.</t>
        </r>
      </text>
    </comment>
    <comment ref="J56" authorId="0" shapeId="0" xr:uid="{00000000-0006-0000-0200-00007C000000}">
      <text>
        <r>
          <rPr>
            <b/>
            <sz val="9"/>
            <color indexed="81"/>
            <rFont val="Tahoma"/>
            <family val="2"/>
          </rPr>
          <t>Door hardware is damaged or non-functional and requires replacement.</t>
        </r>
      </text>
    </comment>
    <comment ref="L56" authorId="0" shapeId="0" xr:uid="{00000000-0006-0000-0200-00007D000000}">
      <text>
        <r>
          <rPr>
            <b/>
            <sz val="9"/>
            <color indexed="81"/>
            <rFont val="Tahoma"/>
            <family val="2"/>
          </rPr>
          <t xml:space="preserve">Door panel and hardware are damaged and require replacement.
</t>
        </r>
      </text>
    </comment>
    <comment ref="N56" authorId="0" shapeId="0" xr:uid="{00000000-0006-0000-0200-00007E000000}">
      <text>
        <r>
          <rPr>
            <b/>
            <sz val="9"/>
            <color indexed="81"/>
            <rFont val="Tahoma"/>
            <family val="2"/>
          </rPr>
          <t>Door frame, door, and hardware are damaged and require replacement.</t>
        </r>
      </text>
    </comment>
    <comment ref="D57" authorId="2" shapeId="0" xr:uid="{00000000-0006-0000-0200-000080000000}">
      <text>
        <r>
          <rPr>
            <b/>
            <sz val="9"/>
            <color indexed="81"/>
            <rFont val="Tahoma"/>
            <family val="2"/>
          </rPr>
          <t>Apply to door count.</t>
        </r>
      </text>
    </comment>
    <comment ref="H57" authorId="1" shapeId="0" xr:uid="{D8FCD84C-45B5-4951-ABC5-98699ED907C3}">
      <text>
        <r>
          <rPr>
            <b/>
            <sz val="9"/>
            <color indexed="81"/>
            <rFont val="Tahoma"/>
            <family val="2"/>
          </rPr>
          <t>Door hardware is functional but damaged requiring repair.</t>
        </r>
      </text>
    </comment>
    <comment ref="J57" authorId="0" shapeId="0" xr:uid="{00000000-0006-0000-0200-000081000000}">
      <text>
        <r>
          <rPr>
            <b/>
            <sz val="9"/>
            <color indexed="81"/>
            <rFont val="Tahoma"/>
            <family val="2"/>
          </rPr>
          <t>Door hardware is damaged or non-functional and requires replacement.</t>
        </r>
      </text>
    </comment>
    <comment ref="L57" authorId="0" shapeId="0" xr:uid="{00000000-0006-0000-0200-000082000000}">
      <text>
        <r>
          <rPr>
            <b/>
            <sz val="9"/>
            <color indexed="81"/>
            <rFont val="Tahoma"/>
            <family val="2"/>
          </rPr>
          <t xml:space="preserve">Door panel and hardware are damaged and require replacement.
</t>
        </r>
      </text>
    </comment>
    <comment ref="N57" authorId="0" shapeId="0" xr:uid="{00000000-0006-0000-0200-000083000000}">
      <text>
        <r>
          <rPr>
            <b/>
            <sz val="9"/>
            <color indexed="81"/>
            <rFont val="Tahoma"/>
            <family val="2"/>
          </rPr>
          <t>Door frame, door, and hardware are damaged and require replacement.</t>
        </r>
      </text>
    </comment>
    <comment ref="P57" authorId="0" shapeId="0" xr:uid="{00000000-0006-0000-0200-00007F000000}">
      <text>
        <r>
          <rPr>
            <b/>
            <sz val="9"/>
            <color indexed="81"/>
            <rFont val="Tahoma"/>
            <family val="2"/>
          </rPr>
          <t>Door frame, door, and hardware are damaged and require replacement</t>
        </r>
      </text>
    </comment>
    <comment ref="D58" authorId="1" shapeId="0" xr:uid="{54BA59A1-487A-488E-A1B1-BFE3DD8453A4}">
      <text>
        <r>
          <rPr>
            <b/>
            <sz val="9"/>
            <color indexed="81"/>
            <rFont val="Tahoma"/>
            <family val="2"/>
          </rPr>
          <t>Apply to door count</t>
        </r>
        <r>
          <rPr>
            <sz val="9"/>
            <color indexed="81"/>
            <rFont val="Tahoma"/>
            <family val="2"/>
          </rPr>
          <t xml:space="preserve">
</t>
        </r>
      </text>
    </comment>
    <comment ref="H58" authorId="1" shapeId="0" xr:uid="{A40D4747-E71C-4E0B-B842-93122DF77092}">
      <text>
        <r>
          <rPr>
            <b/>
            <sz val="9"/>
            <color indexed="81"/>
            <rFont val="Tahoma"/>
            <family val="2"/>
          </rPr>
          <t>Minor dings or bends</t>
        </r>
      </text>
    </comment>
    <comment ref="J58" authorId="0" shapeId="0" xr:uid="{E265F025-1DD9-4980-AE99-5FD5C9A8851F}">
      <text>
        <r>
          <rPr>
            <b/>
            <sz val="9"/>
            <color indexed="81"/>
            <rFont val="Tahoma"/>
            <family val="2"/>
          </rPr>
          <t>Door hardware is damaged or non-functional and requires replacement.</t>
        </r>
      </text>
    </comment>
    <comment ref="L58" authorId="0" shapeId="0" xr:uid="{AE6B73A7-7CB5-4748-9544-F717E804DCDB}">
      <text>
        <r>
          <rPr>
            <b/>
            <sz val="9"/>
            <color indexed="81"/>
            <rFont val="Tahoma"/>
            <family val="2"/>
          </rPr>
          <t xml:space="preserve">Door panel and hardware are damaged and require replacement.
</t>
        </r>
      </text>
    </comment>
    <comment ref="N58" authorId="0" shapeId="0" xr:uid="{BE3B038B-CDA1-4649-8513-6580D49F1AF2}">
      <text>
        <r>
          <rPr>
            <b/>
            <sz val="9"/>
            <color indexed="81"/>
            <rFont val="Tahoma"/>
            <family val="2"/>
          </rPr>
          <t>Door frame, door, and hardware are damaged and require replacement.</t>
        </r>
      </text>
    </comment>
    <comment ref="D59" authorId="1" shapeId="0" xr:uid="{90D0B0B2-2CD8-47DC-85B6-ED520243E21B}">
      <text>
        <r>
          <rPr>
            <b/>
            <sz val="9"/>
            <color indexed="81"/>
            <rFont val="Tahoma"/>
            <family val="2"/>
          </rPr>
          <t>Apply to door count</t>
        </r>
      </text>
    </comment>
    <comment ref="H59" authorId="1" shapeId="0" xr:uid="{ECDC132B-88DF-4C0B-811B-E933FA1D8207}">
      <text>
        <r>
          <rPr>
            <b/>
            <sz val="9"/>
            <color indexed="81"/>
            <rFont val="Tahoma"/>
            <family val="2"/>
          </rPr>
          <t>Minor Dings or Bends</t>
        </r>
        <r>
          <rPr>
            <sz val="9"/>
            <color indexed="81"/>
            <rFont val="Tahoma"/>
            <family val="2"/>
          </rPr>
          <t xml:space="preserve">
</t>
        </r>
      </text>
    </comment>
    <comment ref="J59" authorId="0" shapeId="0" xr:uid="{5107C440-4885-4895-B146-B800C084ECB1}">
      <text>
        <r>
          <rPr>
            <b/>
            <sz val="9"/>
            <color indexed="81"/>
            <rFont val="Tahoma"/>
            <family val="2"/>
          </rPr>
          <t>Door hardware is damaged or non-functional and requires replacement.</t>
        </r>
      </text>
    </comment>
    <comment ref="L59" authorId="0" shapeId="0" xr:uid="{0D439308-921C-41F9-8F99-25C4D9762D14}">
      <text>
        <r>
          <rPr>
            <b/>
            <sz val="9"/>
            <color indexed="81"/>
            <rFont val="Tahoma"/>
            <family val="2"/>
          </rPr>
          <t xml:space="preserve">Door panel and hardware are damaged and require replacement.
</t>
        </r>
      </text>
    </comment>
    <comment ref="N59" authorId="0" shapeId="0" xr:uid="{2A4C3865-1A12-41F7-AEDA-16EACCCB7A94}">
      <text>
        <r>
          <rPr>
            <b/>
            <sz val="9"/>
            <color indexed="81"/>
            <rFont val="Tahoma"/>
            <family val="2"/>
          </rPr>
          <t>Door track system, door panel, and hardware are damaged and require replacement..</t>
        </r>
      </text>
    </comment>
    <comment ref="D60" authorId="1" shapeId="0" xr:uid="{397E9A66-58F1-4241-8A93-03F15C5EE1B7}">
      <text>
        <r>
          <rPr>
            <b/>
            <sz val="9"/>
            <color indexed="81"/>
            <rFont val="Tahoma"/>
            <family val="2"/>
          </rPr>
          <t>Apply to door count</t>
        </r>
      </text>
    </comment>
    <comment ref="H60" authorId="1" shapeId="0" xr:uid="{08CFAC9B-C541-4DDA-9D77-AF558794C294}">
      <text>
        <r>
          <rPr>
            <b/>
            <sz val="9"/>
            <color indexed="81"/>
            <rFont val="Tahoma"/>
            <family val="2"/>
          </rPr>
          <t>Minor Dings or Bends</t>
        </r>
        <r>
          <rPr>
            <sz val="9"/>
            <color indexed="81"/>
            <rFont val="Tahoma"/>
            <family val="2"/>
          </rPr>
          <t xml:space="preserve">
</t>
        </r>
      </text>
    </comment>
    <comment ref="J60" authorId="0" shapeId="0" xr:uid="{8EBF3F74-C443-41DE-ACD4-A807B90DEFF2}">
      <text>
        <r>
          <rPr>
            <b/>
            <sz val="9"/>
            <color indexed="81"/>
            <rFont val="Tahoma"/>
            <family val="2"/>
          </rPr>
          <t>Door hardware is damaged or non-functional and requires replacement.</t>
        </r>
      </text>
    </comment>
    <comment ref="L60" authorId="0" shapeId="0" xr:uid="{D78B4660-A947-4764-A931-3BE06A9943F8}">
      <text>
        <r>
          <rPr>
            <b/>
            <sz val="9"/>
            <color indexed="81"/>
            <rFont val="Tahoma"/>
            <family val="2"/>
          </rPr>
          <t xml:space="preserve">Door panel and hardware are damaged and require replacement.
</t>
        </r>
      </text>
    </comment>
    <comment ref="N60" authorId="0" shapeId="0" xr:uid="{06A62608-658C-4E5E-99A6-A2999E7E62DB}">
      <text>
        <r>
          <rPr>
            <b/>
            <sz val="9"/>
            <color indexed="81"/>
            <rFont val="Tahoma"/>
            <family val="2"/>
          </rPr>
          <t>Door track system, door panel, and hardware are damaged and require replacement.</t>
        </r>
      </text>
    </comment>
    <comment ref="D61" authorId="1" shapeId="0" xr:uid="{FBBA2A7E-8895-4F5C-A34E-BB1042F23E07}">
      <text>
        <r>
          <rPr>
            <b/>
            <sz val="9"/>
            <color indexed="81"/>
            <rFont val="Tahoma"/>
            <family val="2"/>
          </rPr>
          <t>Enter # of wood windows. 1 window = a standard 5*4 or 20 Sq. Ft</t>
        </r>
        <r>
          <rPr>
            <sz val="9"/>
            <color indexed="81"/>
            <rFont val="Tahoma"/>
            <family val="2"/>
          </rPr>
          <t xml:space="preserve">
</t>
        </r>
      </text>
    </comment>
    <comment ref="H61" authorId="1" shapeId="0" xr:uid="{0007DE90-7B52-4A84-94D1-8F286599EB87}">
      <text>
        <r>
          <rPr>
            <b/>
            <sz val="9"/>
            <color indexed="81"/>
            <rFont val="Tahoma"/>
            <family val="2"/>
          </rPr>
          <t>Minor repairs to glazing, sealing, or sash. Does not require replacement</t>
        </r>
        <r>
          <rPr>
            <sz val="9"/>
            <color indexed="81"/>
            <rFont val="Tahoma"/>
            <family val="2"/>
          </rPr>
          <t xml:space="preserve">
</t>
        </r>
      </text>
    </comment>
    <comment ref="J61" authorId="0" shapeId="0" xr:uid="{F7923C76-6981-4A01-A662-9E7D5C245736}">
      <text>
        <r>
          <rPr>
            <b/>
            <sz val="9"/>
            <color indexed="81"/>
            <rFont val="Tahoma"/>
            <family val="2"/>
          </rPr>
          <t>The glazing is double pane but is broken or fogged and requires replacement.</t>
        </r>
      </text>
    </comment>
    <comment ref="L61" authorId="0" shapeId="0" xr:uid="{A01F702F-B0CF-44D1-8AAF-A2FBCE4173ED}">
      <text>
        <r>
          <rPr>
            <b/>
            <sz val="9"/>
            <color indexed="81"/>
            <rFont val="Tahoma"/>
            <family val="2"/>
          </rPr>
          <t>The glazing is single pane or the sash is damaged - either requires replacement of the sash and its glazing.</t>
        </r>
      </text>
    </comment>
    <comment ref="N61" authorId="0" shapeId="0" xr:uid="{E2A122FF-B0C3-4AB6-AE01-67AED930DF0E}">
      <text>
        <r>
          <rPr>
            <b/>
            <sz val="9"/>
            <color indexed="81"/>
            <rFont val="Tahoma"/>
            <family val="2"/>
          </rPr>
          <t>The structural integrity of the frame is damaged, requiring the full replacement of the window unit.</t>
        </r>
      </text>
    </comment>
    <comment ref="D62" authorId="0" shapeId="0" xr:uid="{EC0BFD8B-36E0-4C0C-9CCB-D6D198EF378F}">
      <text>
        <r>
          <rPr>
            <b/>
            <sz val="9"/>
            <color indexed="81"/>
            <rFont val="Tahoma"/>
            <family val="2"/>
          </rPr>
          <t>This assumes both individual aluminum windows and storefront systems.
Enter # of aluminum/steel windows. 1 window = a standard 5*4 or 20 Sq. Ft</t>
        </r>
      </text>
    </comment>
    <comment ref="H62" authorId="1" shapeId="0" xr:uid="{018F65FA-AB28-4DC1-9DDB-5D3A6A372E51}">
      <text>
        <r>
          <rPr>
            <b/>
            <sz val="9"/>
            <color indexed="81"/>
            <rFont val="Tahoma"/>
            <family val="2"/>
          </rPr>
          <t xml:space="preserve">Minor repairs to glazing, sealing, or sash. Does not require replacement
</t>
        </r>
      </text>
    </comment>
    <comment ref="J62" authorId="0" shapeId="0" xr:uid="{1E30FE71-FC42-48AF-8418-8728ABBBA6EC}">
      <text>
        <r>
          <rPr>
            <b/>
            <sz val="9"/>
            <color indexed="81"/>
            <rFont val="Tahoma"/>
            <family val="2"/>
          </rPr>
          <t>The glazing is double pane but is broken or fogged and requires replacement.</t>
        </r>
      </text>
    </comment>
    <comment ref="L62" authorId="0" shapeId="0" xr:uid="{33DE1819-A32F-4B49-AD7A-0E22735CE0D3}">
      <text>
        <r>
          <rPr>
            <b/>
            <sz val="9"/>
            <color indexed="81"/>
            <rFont val="Tahoma"/>
            <family val="2"/>
          </rPr>
          <t>The glazing is single pane or the sash is damaged - either requires replacement of the sash and its glazing.</t>
        </r>
      </text>
    </comment>
    <comment ref="N62" authorId="0" shapeId="0" xr:uid="{16BEF98D-1C99-453C-8596-98B44EE1711C}">
      <text>
        <r>
          <rPr>
            <b/>
            <sz val="9"/>
            <color indexed="81"/>
            <rFont val="Tahoma"/>
            <family val="2"/>
          </rPr>
          <t>The structural integrity of the frame is damaged, requiring the full replacement of the window unit.</t>
        </r>
      </text>
    </comment>
    <comment ref="P62" authorId="0" shapeId="0" xr:uid="{98874E1B-042B-4401-B306-1E016D112A9F}">
      <text>
        <r>
          <rPr>
            <b/>
            <sz val="9"/>
            <color indexed="81"/>
            <rFont val="Tahoma"/>
            <family val="2"/>
          </rPr>
          <t>The structural integrity of the frame is damaged, requiring the full replacement of the window unit</t>
        </r>
      </text>
    </comment>
    <comment ref="D63" authorId="0" shapeId="0" xr:uid="{8DF895FF-7048-4144-8942-7535265B0E44}">
      <text>
        <r>
          <rPr>
            <b/>
            <sz val="9"/>
            <color indexed="81"/>
            <rFont val="Tahoma"/>
            <family val="2"/>
          </rPr>
          <t>This assumes a metal windows system clad with wood or vinyl.
Enter # of clad windows. 1 window = a standard 5*4 or 20 Sq. Ft</t>
        </r>
      </text>
    </comment>
    <comment ref="H63" authorId="1" shapeId="0" xr:uid="{CA7AFF5D-487B-4154-B6AF-337245210967}">
      <text>
        <r>
          <rPr>
            <b/>
            <sz val="9"/>
            <color indexed="81"/>
            <rFont val="Tahoma"/>
            <family val="2"/>
          </rPr>
          <t>Minor repairs to glazing, sealing, or sash. Does not require replacement</t>
        </r>
      </text>
    </comment>
    <comment ref="J63" authorId="0" shapeId="0" xr:uid="{B251068A-EDD3-4B8A-A8BE-2AFE7F5F3D20}">
      <text>
        <r>
          <rPr>
            <b/>
            <sz val="9"/>
            <color indexed="81"/>
            <rFont val="Tahoma"/>
            <family val="2"/>
          </rPr>
          <t>The glazing is double pane but is broken or fogged and requires replacement.</t>
        </r>
      </text>
    </comment>
    <comment ref="L63" authorId="0" shapeId="0" xr:uid="{295DC85D-9E6E-4B5A-B20F-B3E1F3628E5B}">
      <text>
        <r>
          <rPr>
            <b/>
            <sz val="9"/>
            <color indexed="81"/>
            <rFont val="Tahoma"/>
            <family val="2"/>
          </rPr>
          <t>The glazing is single pane or the sash is damaged - either requires replacement of the sash and its glazing.</t>
        </r>
      </text>
    </comment>
    <comment ref="N63" authorId="0" shapeId="0" xr:uid="{B80A07AA-199A-4A61-B5D1-C27BB9B2AC68}">
      <text>
        <r>
          <rPr>
            <b/>
            <sz val="9"/>
            <color indexed="81"/>
            <rFont val="Tahoma"/>
            <family val="2"/>
          </rPr>
          <t>The structural integrity of the frame is damaged, requiring the full replacement of the window unit.</t>
        </r>
      </text>
    </comment>
    <comment ref="P63" authorId="0" shapeId="0" xr:uid="{EB347CB7-8581-4038-BFFC-1964111CA1D0}">
      <text>
        <r>
          <rPr>
            <b/>
            <sz val="9"/>
            <color indexed="81"/>
            <rFont val="Tahoma"/>
            <family val="2"/>
          </rPr>
          <t>The structural integrity of the frame is damaged, requiring the full replacement of the window unit</t>
        </r>
      </text>
    </comment>
    <comment ref="P64" authorId="0" shapeId="0" xr:uid="{A756D611-A89C-444F-838E-C7F1DE0E5360}">
      <text>
        <r>
          <rPr>
            <b/>
            <sz val="9"/>
            <color indexed="81"/>
            <rFont val="Tahoma"/>
            <family val="2"/>
          </rPr>
          <t>Settlement or displacement is evident</t>
        </r>
      </text>
    </comment>
    <comment ref="D65" authorId="2" shapeId="0" xr:uid="{00000000-0006-0000-0200-000085000000}">
      <text>
        <r>
          <rPr>
            <b/>
            <sz val="9"/>
            <color indexed="81"/>
            <rFont val="Tahoma"/>
            <family val="2"/>
          </rPr>
          <t>Apply to stair flights.</t>
        </r>
      </text>
    </comment>
    <comment ref="E65" authorId="3" shapeId="0" xr:uid="{565C156C-0FB6-453F-B9C1-6446A2D2E88A}">
      <text>
        <r>
          <rPr>
            <b/>
            <sz val="9"/>
            <color indexed="81"/>
            <rFont val="Tahoma"/>
            <family val="2"/>
          </rPr>
          <t>For data collected in the App prior to 2/1/2022:</t>
        </r>
        <r>
          <rPr>
            <sz val="9"/>
            <color indexed="81"/>
            <rFont val="Tahoma"/>
            <family val="2"/>
          </rPr>
          <t xml:space="preserve">  Verify </t>
        </r>
        <r>
          <rPr>
            <u/>
            <sz val="9"/>
            <color indexed="81"/>
            <rFont val="Tahoma"/>
            <family val="2"/>
          </rPr>
          <t>all</t>
        </r>
        <r>
          <rPr>
            <sz val="9"/>
            <color indexed="81"/>
            <rFont val="Tahoma"/>
            <family val="2"/>
          </rPr>
          <t xml:space="preserve"> STAIR fields are filled in on the CONSTRUCTION tab and then re-run PCA.</t>
        </r>
      </text>
    </comment>
    <comment ref="H65" authorId="1" shapeId="0" xr:uid="{F1BB8B0C-6130-44EC-B232-47728990A9B6}">
      <text>
        <r>
          <rPr>
            <b/>
            <sz val="9"/>
            <color indexed="81"/>
            <rFont val="Tahoma"/>
            <family val="2"/>
          </rPr>
          <t>Minor patch and require required</t>
        </r>
        <r>
          <rPr>
            <sz val="9"/>
            <color indexed="81"/>
            <rFont val="Tahoma"/>
            <family val="2"/>
          </rPr>
          <t xml:space="preserve">
</t>
        </r>
      </text>
    </comment>
    <comment ref="J65" authorId="1" shapeId="0" xr:uid="{B0362088-756F-4902-8831-98F08675874E}">
      <text>
        <r>
          <rPr>
            <b/>
            <sz val="9"/>
            <color indexed="81"/>
            <rFont val="Tahoma"/>
            <family val="2"/>
          </rPr>
          <t>Rails not compliant with code and require removal and replacement.</t>
        </r>
      </text>
    </comment>
    <comment ref="L65" authorId="0" shapeId="0" xr:uid="{00000000-0006-0000-0200-000086000000}">
      <text>
        <r>
          <rPr>
            <b/>
            <sz val="9"/>
            <color indexed="81"/>
            <rFont val="Tahoma"/>
            <family val="2"/>
          </rPr>
          <t>Sections are losing their structural integrity and repair major repair.</t>
        </r>
      </text>
    </comment>
    <comment ref="N65" authorId="0" shapeId="0" xr:uid="{00000000-0006-0000-0200-000087000000}">
      <text>
        <r>
          <rPr>
            <b/>
            <sz val="9"/>
            <color indexed="81"/>
            <rFont val="Tahoma"/>
            <family val="2"/>
          </rPr>
          <t>Structural integrity of stair unit is compromised and requires its removal and replacement.</t>
        </r>
      </text>
    </comment>
    <comment ref="P65" authorId="0" shapeId="0" xr:uid="{00000000-0006-0000-0200-000084000000}">
      <text>
        <r>
          <rPr>
            <b/>
            <sz val="9"/>
            <color indexed="81"/>
            <rFont val="Tahoma"/>
            <family val="2"/>
          </rPr>
          <t>Structural integrity of stair unit is compromised and requires its removal and replacement</t>
        </r>
      </text>
    </comment>
    <comment ref="D66" authorId="2" shapeId="0" xr:uid="{00000000-0006-0000-0200-000089000000}">
      <text>
        <r>
          <rPr>
            <b/>
            <sz val="9"/>
            <color indexed="81"/>
            <rFont val="Tahoma"/>
            <family val="2"/>
          </rPr>
          <t>Apply to stair flights.</t>
        </r>
      </text>
    </comment>
    <comment ref="E66" authorId="3" shapeId="0" xr:uid="{3388C249-49DA-4C32-A986-5DEA6FFC3935}">
      <text>
        <r>
          <rPr>
            <b/>
            <sz val="9"/>
            <color indexed="81"/>
            <rFont val="Tahoma"/>
            <family val="2"/>
          </rPr>
          <t>For data collected in the App prior to 2/1/2022:</t>
        </r>
        <r>
          <rPr>
            <sz val="9"/>
            <color indexed="81"/>
            <rFont val="Tahoma"/>
            <family val="2"/>
          </rPr>
          <t xml:space="preserve">  Verify </t>
        </r>
        <r>
          <rPr>
            <u/>
            <sz val="9"/>
            <color indexed="81"/>
            <rFont val="Tahoma"/>
            <family val="2"/>
          </rPr>
          <t>all</t>
        </r>
        <r>
          <rPr>
            <sz val="9"/>
            <color indexed="81"/>
            <rFont val="Tahoma"/>
            <family val="2"/>
          </rPr>
          <t xml:space="preserve"> STAIR fields are filled in on the CONSTRUCTION tab and then re-run PC</t>
        </r>
      </text>
    </comment>
    <comment ref="H66" authorId="0" shapeId="0" xr:uid="{00000000-0006-0000-0200-00008A000000}">
      <text>
        <r>
          <rPr>
            <b/>
            <sz val="9"/>
            <color indexed="81"/>
            <rFont val="Tahoma"/>
            <family val="2"/>
          </rPr>
          <t>Rust visible - prep and re-finish.</t>
        </r>
      </text>
    </comment>
    <comment ref="J66" authorId="1" shapeId="0" xr:uid="{AB5A73C7-A58C-4481-A000-140E845120C8}">
      <text>
        <r>
          <rPr>
            <b/>
            <sz val="9"/>
            <color indexed="81"/>
            <rFont val="Tahoma"/>
            <family val="2"/>
          </rPr>
          <t>Rails not compliant with code and require removal and replacement.</t>
        </r>
      </text>
    </comment>
    <comment ref="L66" authorId="0" shapeId="0" xr:uid="{00000000-0006-0000-0200-00008B000000}">
      <text>
        <r>
          <rPr>
            <b/>
            <sz val="9"/>
            <color indexed="81"/>
            <rFont val="Tahoma"/>
            <family val="2"/>
          </rPr>
          <t>Sections are losing their structural integrity and repair major repair.</t>
        </r>
      </text>
    </comment>
    <comment ref="N66" authorId="0" shapeId="0" xr:uid="{00000000-0006-0000-0200-00008C000000}">
      <text>
        <r>
          <rPr>
            <b/>
            <sz val="9"/>
            <color indexed="81"/>
            <rFont val="Tahoma"/>
            <family val="2"/>
          </rPr>
          <t>Structural integrity of stair unit is compromised and requires its removal and replacement.</t>
        </r>
      </text>
    </comment>
    <comment ref="P66" authorId="0" shapeId="0" xr:uid="{00000000-0006-0000-0200-000088000000}">
      <text>
        <r>
          <rPr>
            <b/>
            <sz val="9"/>
            <color indexed="81"/>
            <rFont val="Tahoma"/>
            <family val="2"/>
          </rPr>
          <t>Structural integrity of stair unit is compromised and requires its removal and replacement</t>
        </r>
      </text>
    </comment>
    <comment ref="D67" authorId="2" shapeId="0" xr:uid="{00000000-0006-0000-0200-00008E000000}">
      <text>
        <r>
          <rPr>
            <b/>
            <sz val="9"/>
            <color indexed="81"/>
            <rFont val="Tahoma"/>
            <family val="2"/>
          </rPr>
          <t>Apply to stair flights.</t>
        </r>
      </text>
    </comment>
    <comment ref="E67" authorId="3" shapeId="0" xr:uid="{914AF8C8-86B6-4022-BA08-8DB19CFD0E5B}">
      <text>
        <r>
          <rPr>
            <b/>
            <sz val="9"/>
            <color indexed="81"/>
            <rFont val="Tahoma"/>
            <family val="2"/>
          </rPr>
          <t>For data collected in the App prior to 2/1/2022:</t>
        </r>
        <r>
          <rPr>
            <sz val="9"/>
            <color indexed="81"/>
            <rFont val="Tahoma"/>
            <family val="2"/>
          </rPr>
          <t xml:space="preserve">  Verify </t>
        </r>
        <r>
          <rPr>
            <u/>
            <sz val="9"/>
            <color indexed="81"/>
            <rFont val="Tahoma"/>
            <family val="2"/>
          </rPr>
          <t>all</t>
        </r>
        <r>
          <rPr>
            <sz val="9"/>
            <color indexed="81"/>
            <rFont val="Tahoma"/>
            <family val="2"/>
          </rPr>
          <t xml:space="preserve"> STAIR fields are filled in on the CONSTRUCTION tab and then re-run PCA.</t>
        </r>
      </text>
    </comment>
    <comment ref="H67" authorId="1" shapeId="0" xr:uid="{CFFB38CC-AB57-4A17-B1AA-78D94419EE0B}">
      <text>
        <r>
          <rPr>
            <b/>
            <sz val="9"/>
            <color indexed="81"/>
            <rFont val="Tahoma"/>
            <family val="2"/>
          </rPr>
          <t>Minor patch and require required</t>
        </r>
      </text>
    </comment>
    <comment ref="J67" authorId="1" shapeId="0" xr:uid="{B2C0D3E2-2AD7-4FF4-BB5A-8857ABA8A282}">
      <text>
        <r>
          <rPr>
            <b/>
            <sz val="9"/>
            <color indexed="81"/>
            <rFont val="Tahoma"/>
            <family val="2"/>
          </rPr>
          <t>An isolated structural crack or separation requiring re-enforcement in place.</t>
        </r>
      </text>
    </comment>
    <comment ref="L67" authorId="0" shapeId="0" xr:uid="{00000000-0006-0000-0200-00008F000000}">
      <text>
        <r>
          <rPr>
            <b/>
            <sz val="9"/>
            <color indexed="81"/>
            <rFont val="Tahoma"/>
            <family val="2"/>
          </rPr>
          <t xml:space="preserve">Sections are losing their structural integrity and repair major repair.
</t>
        </r>
      </text>
    </comment>
    <comment ref="N67" authorId="0" shapeId="0" xr:uid="{00000000-0006-0000-0200-000090000000}">
      <text>
        <r>
          <rPr>
            <b/>
            <sz val="9"/>
            <color indexed="81"/>
            <rFont val="Tahoma"/>
            <family val="2"/>
          </rPr>
          <t>Structural cracking and separation occurring in multiple locations - remove and replace the stair unit.</t>
        </r>
      </text>
    </comment>
    <comment ref="P67" authorId="0" shapeId="0" xr:uid="{00000000-0006-0000-0200-00008D000000}">
      <text>
        <r>
          <rPr>
            <b/>
            <sz val="9"/>
            <color indexed="81"/>
            <rFont val="Tahoma"/>
            <family val="2"/>
          </rPr>
          <t>Structural cracking and separation occurring in multiple locations - remove and replace the stair unit</t>
        </r>
      </text>
    </comment>
    <comment ref="D68" authorId="2" shapeId="0" xr:uid="{00000000-0006-0000-0200-000092000000}">
      <text>
        <r>
          <rPr>
            <b/>
            <sz val="9"/>
            <color indexed="81"/>
            <rFont val="Tahoma"/>
            <family val="2"/>
          </rPr>
          <t>Apply to stair flights.</t>
        </r>
      </text>
    </comment>
    <comment ref="E68" authorId="3" shapeId="0" xr:uid="{DD139F90-F498-4C1E-BA80-B3D4ADC10008}">
      <text>
        <r>
          <rPr>
            <b/>
            <sz val="9"/>
            <color indexed="81"/>
            <rFont val="Tahoma"/>
            <family val="2"/>
          </rPr>
          <t xml:space="preserve">For data collected in the App prior to 2/1/2022: </t>
        </r>
        <r>
          <rPr>
            <sz val="9"/>
            <color indexed="81"/>
            <rFont val="Tahoma"/>
            <family val="2"/>
          </rPr>
          <t xml:space="preserve"> Verify </t>
        </r>
        <r>
          <rPr>
            <u/>
            <sz val="9"/>
            <color indexed="81"/>
            <rFont val="Tahoma"/>
            <family val="2"/>
          </rPr>
          <t>all</t>
        </r>
        <r>
          <rPr>
            <sz val="9"/>
            <color indexed="81"/>
            <rFont val="Tahoma"/>
            <family val="2"/>
          </rPr>
          <t xml:space="preserve"> STAIR fields are filled in on the CONSTRUCTION tab and then re-run PCA.</t>
        </r>
      </text>
    </comment>
    <comment ref="H68" authorId="0" shapeId="0" xr:uid="{00000000-0006-0000-0200-000093000000}">
      <text>
        <r>
          <rPr>
            <b/>
            <sz val="9"/>
            <color indexed="81"/>
            <rFont val="Tahoma"/>
            <family val="2"/>
          </rPr>
          <t>Surface feels rough and/or taking in moisture from the surface resulting in staining - prep and re-seal.</t>
        </r>
      </text>
    </comment>
    <comment ref="J68" authorId="1" shapeId="0" xr:uid="{82A58EB0-A3E6-49E0-95A1-BF1C7FBCB5B3}">
      <text>
        <r>
          <rPr>
            <b/>
            <sz val="9"/>
            <color indexed="81"/>
            <rFont val="Tahoma"/>
            <family val="2"/>
          </rPr>
          <t>Minor non structural cracking or chips requiring sealing</t>
        </r>
        <r>
          <rPr>
            <sz val="9"/>
            <color indexed="81"/>
            <rFont val="Tahoma"/>
            <family val="2"/>
          </rPr>
          <t xml:space="preserve">
</t>
        </r>
      </text>
    </comment>
    <comment ref="L68" authorId="1" shapeId="0" xr:uid="{9C93204F-5D14-4D0D-ABE5-7CF406C7C4A2}">
      <text>
        <r>
          <rPr>
            <b/>
            <sz val="9"/>
            <color indexed="81"/>
            <rFont val="Tahoma"/>
            <family val="2"/>
          </rPr>
          <t>An isolated structural crack or separation requiring re-enforcement in place.</t>
        </r>
      </text>
    </comment>
    <comment ref="N68" authorId="0" shapeId="0" xr:uid="{00000000-0006-0000-0200-000094000000}">
      <text>
        <r>
          <rPr>
            <b/>
            <sz val="9"/>
            <color indexed="81"/>
            <rFont val="Tahoma"/>
            <family val="2"/>
          </rPr>
          <t>Severe cracking requiring removal and replacement of tread in fills.</t>
        </r>
      </text>
    </comment>
    <comment ref="P68" authorId="0" shapeId="0" xr:uid="{00000000-0006-0000-0200-000091000000}">
      <text>
        <r>
          <rPr>
            <b/>
            <sz val="9"/>
            <color indexed="81"/>
            <rFont val="Tahoma"/>
            <family val="2"/>
          </rPr>
          <t>Severe cracking requiring removal and replacement of tread in fills</t>
        </r>
      </text>
    </comment>
    <comment ref="D69" authorId="2" shapeId="0" xr:uid="{00000000-0006-0000-0200-000096000000}">
      <text>
        <r>
          <rPr>
            <b/>
            <sz val="9"/>
            <color indexed="81"/>
            <rFont val="Tahoma"/>
            <family val="2"/>
          </rPr>
          <t>Apply to stair flights.</t>
        </r>
      </text>
    </comment>
    <comment ref="E69" authorId="3" shapeId="0" xr:uid="{3F5B3ECB-4CAE-4100-9CEE-A41F2237762A}">
      <text>
        <r>
          <rPr>
            <b/>
            <sz val="9"/>
            <color indexed="81"/>
            <rFont val="Tahoma"/>
            <family val="2"/>
          </rPr>
          <t xml:space="preserve">For data collected in the App prior to 2/1/2022: </t>
        </r>
        <r>
          <rPr>
            <sz val="9"/>
            <color indexed="81"/>
            <rFont val="Tahoma"/>
            <family val="2"/>
          </rPr>
          <t xml:space="preserve"> Verify </t>
        </r>
        <r>
          <rPr>
            <u/>
            <sz val="9"/>
            <color indexed="81"/>
            <rFont val="Tahoma"/>
            <family val="2"/>
          </rPr>
          <t>all</t>
        </r>
        <r>
          <rPr>
            <sz val="9"/>
            <color indexed="81"/>
            <rFont val="Tahoma"/>
            <family val="2"/>
          </rPr>
          <t xml:space="preserve"> STAIR fields are filled in on the CONSTRUCTION tab and then re-run PCA.</t>
        </r>
      </text>
    </comment>
    <comment ref="H69" authorId="1" shapeId="0" xr:uid="{3EBB385E-E8EA-4F2F-954F-CD422A7905ED}">
      <text>
        <r>
          <rPr>
            <b/>
            <sz val="9"/>
            <color indexed="81"/>
            <rFont val="Tahoma"/>
            <family val="2"/>
          </rPr>
          <t>Sporadic number of tiles are lifting or cracked/broken and require replacement.</t>
        </r>
      </text>
    </comment>
    <comment ref="J69" authorId="1" shapeId="0" xr:uid="{6F20EE6E-9789-4D6C-B3FB-92EC10827CD7}">
      <text>
        <r>
          <rPr>
            <b/>
            <sz val="9"/>
            <color indexed="81"/>
            <rFont val="Tahoma"/>
            <family val="2"/>
          </rPr>
          <t>Heaving, bubbling, or lifting in sections of the finish</t>
        </r>
      </text>
    </comment>
    <comment ref="L69" authorId="1" shapeId="0" xr:uid="{4F728B06-DF8E-43AE-9857-B15470A1BBA9}">
      <text>
        <r>
          <rPr>
            <b/>
            <sz val="9"/>
            <color indexed="81"/>
            <rFont val="Tahoma"/>
            <family val="2"/>
          </rPr>
          <t>The majority of tiles are lifting, cracking/broken and require replacement - the tiles or glue are NOT asbestos.</t>
        </r>
        <r>
          <rPr>
            <sz val="9"/>
            <color indexed="81"/>
            <rFont val="Tahoma"/>
            <family val="2"/>
          </rPr>
          <t xml:space="preserve">
</t>
        </r>
      </text>
    </comment>
    <comment ref="N69" authorId="0" shapeId="0" xr:uid="{00000000-0006-0000-0200-000097000000}">
      <text>
        <r>
          <rPr>
            <b/>
            <sz val="9"/>
            <color indexed="81"/>
            <rFont val="Tahoma"/>
            <family val="2"/>
          </rPr>
          <t>Finish is lifting or separating and creating trip hazards - remove and replace.</t>
        </r>
      </text>
    </comment>
    <comment ref="P69" authorId="0" shapeId="0" xr:uid="{00000000-0006-0000-0200-000095000000}">
      <text>
        <r>
          <rPr>
            <b/>
            <sz val="9"/>
            <color indexed="81"/>
            <rFont val="Tahoma"/>
            <family val="2"/>
          </rPr>
          <t>finish is lifting or separating and creating trip hazards - remove and replace</t>
        </r>
      </text>
    </comment>
    <comment ref="D70" authorId="1" shapeId="0" xr:uid="{3D474533-800F-4486-BF9D-F243CA3B3BEC}">
      <text>
        <r>
          <rPr>
            <b/>
            <sz val="9"/>
            <color indexed="81"/>
            <rFont val="Tahoma"/>
            <family val="2"/>
          </rPr>
          <t>Apply to Stair Flights</t>
        </r>
        <r>
          <rPr>
            <sz val="9"/>
            <color indexed="81"/>
            <rFont val="Tahoma"/>
            <family val="2"/>
          </rPr>
          <t xml:space="preserve">
</t>
        </r>
      </text>
    </comment>
    <comment ref="E70" authorId="3" shapeId="0" xr:uid="{83B3FD63-F57B-4E20-A60A-CBD3474214DB}">
      <text>
        <r>
          <rPr>
            <b/>
            <sz val="9"/>
            <color indexed="81"/>
            <rFont val="Tahoma"/>
            <family val="2"/>
          </rPr>
          <t>For data collected in the App prior to 2/1/2022:</t>
        </r>
        <r>
          <rPr>
            <sz val="9"/>
            <color indexed="81"/>
            <rFont val="Tahoma"/>
            <family val="2"/>
          </rPr>
          <t xml:space="preserve">  Verify</t>
        </r>
        <r>
          <rPr>
            <u/>
            <sz val="9"/>
            <color indexed="81"/>
            <rFont val="Tahoma"/>
            <family val="2"/>
          </rPr>
          <t xml:space="preserve"> all</t>
        </r>
        <r>
          <rPr>
            <sz val="9"/>
            <color indexed="81"/>
            <rFont val="Tahoma"/>
            <family val="2"/>
          </rPr>
          <t xml:space="preserve"> STAIR fields are filled in on the CONSTRUCTION tab and then re-run PCA.
</t>
        </r>
      </text>
    </comment>
    <comment ref="H70" authorId="1" shapeId="0" xr:uid="{3C1F239E-3165-42D8-9AEF-180809F5F94A}">
      <text>
        <r>
          <rPr>
            <b/>
            <sz val="9"/>
            <color indexed="81"/>
            <rFont val="Tahoma"/>
            <family val="2"/>
          </rPr>
          <t>Surface feels rough and/or taking in moisture from the surface resulting in staining - prep and re-seal.</t>
        </r>
      </text>
    </comment>
    <comment ref="J70" authorId="1" shapeId="0" xr:uid="{C36B3A4B-68C1-41F9-99AF-B3128A625D32}">
      <text>
        <r>
          <rPr>
            <b/>
            <sz val="9"/>
            <color indexed="81"/>
            <rFont val="Tahoma"/>
            <family val="2"/>
          </rPr>
          <t>Heaving or lifting in sections of the finish</t>
        </r>
      </text>
    </comment>
    <comment ref="L70" authorId="1" shapeId="0" xr:uid="{E4E0BE46-DB00-4D2D-8663-EC75ED284A0B}">
      <text>
        <r>
          <rPr>
            <b/>
            <sz val="9"/>
            <color indexed="81"/>
            <rFont val="Tahoma"/>
            <family val="2"/>
          </rPr>
          <t>An isolated structural crack or separation requiring re-enforcement in place.</t>
        </r>
        <r>
          <rPr>
            <sz val="9"/>
            <color indexed="81"/>
            <rFont val="Tahoma"/>
            <family val="2"/>
          </rPr>
          <t xml:space="preserve">
</t>
        </r>
      </text>
    </comment>
    <comment ref="N70" authorId="1" shapeId="0" xr:uid="{E7DE59B9-B397-476A-894B-08353D467DF5}">
      <text>
        <r>
          <rPr>
            <b/>
            <sz val="9"/>
            <color indexed="81"/>
            <rFont val="Tahoma"/>
            <family val="2"/>
          </rPr>
          <t>Finish is lifting or separating and creating trip hazards - remove and replace.</t>
        </r>
        <r>
          <rPr>
            <sz val="9"/>
            <color indexed="81"/>
            <rFont val="Tahoma"/>
            <family val="2"/>
          </rPr>
          <t xml:space="preserve">
</t>
        </r>
      </text>
    </comment>
    <comment ref="D71" authorId="1" shapeId="0" xr:uid="{2FD7443D-F933-462A-8991-DBEC6D434D50}">
      <text>
        <r>
          <rPr>
            <b/>
            <sz val="9"/>
            <color indexed="81"/>
            <rFont val="Tahoma"/>
            <family val="2"/>
          </rPr>
          <t>Apply to Stair Flights</t>
        </r>
      </text>
    </comment>
    <comment ref="E71" authorId="3" shapeId="0" xr:uid="{DD355ED8-C224-4789-9666-ACD45B52BAC4}">
      <text>
        <r>
          <rPr>
            <b/>
            <sz val="9"/>
            <color indexed="81"/>
            <rFont val="Tahoma"/>
            <family val="2"/>
          </rPr>
          <t xml:space="preserve">For data collected in the App prior to 2/1/2022: </t>
        </r>
        <r>
          <rPr>
            <sz val="9"/>
            <color indexed="81"/>
            <rFont val="Tahoma"/>
            <family val="2"/>
          </rPr>
          <t xml:space="preserve"> Verify</t>
        </r>
        <r>
          <rPr>
            <u/>
            <sz val="9"/>
            <color indexed="81"/>
            <rFont val="Tahoma"/>
            <family val="2"/>
          </rPr>
          <t xml:space="preserve"> all</t>
        </r>
        <r>
          <rPr>
            <sz val="9"/>
            <color indexed="81"/>
            <rFont val="Tahoma"/>
            <family val="2"/>
          </rPr>
          <t xml:space="preserve"> STAIR fields are filled in on the CONSTRUCTION tab and then re-run PCA.</t>
        </r>
      </text>
    </comment>
    <comment ref="H71" authorId="1" shapeId="0" xr:uid="{7BA12C93-D462-4102-B1F2-7F97AEC25F9E}">
      <text>
        <r>
          <rPr>
            <b/>
            <sz val="9"/>
            <color indexed="81"/>
            <rFont val="Tahoma"/>
            <family val="2"/>
          </rPr>
          <t xml:space="preserve">Some sections are beginning to lift or rust
</t>
        </r>
      </text>
    </comment>
    <comment ref="J71" authorId="1" shapeId="0" xr:uid="{1416B8BD-EEB0-4884-827B-E963150961A2}">
      <text>
        <r>
          <rPr>
            <b/>
            <sz val="9"/>
            <color indexed="81"/>
            <rFont val="Tahoma"/>
            <family val="2"/>
          </rPr>
          <t>Rusting non structural cracks or breaks requiring repair</t>
        </r>
        <r>
          <rPr>
            <sz val="9"/>
            <color indexed="81"/>
            <rFont val="Tahoma"/>
            <family val="2"/>
          </rPr>
          <t xml:space="preserve">
</t>
        </r>
      </text>
    </comment>
    <comment ref="L71" authorId="1" shapeId="0" xr:uid="{989034A0-CD75-4091-AC2C-229E8D2ED424}">
      <text>
        <r>
          <rPr>
            <b/>
            <sz val="9"/>
            <color indexed="81"/>
            <rFont val="Tahoma"/>
            <family val="2"/>
          </rPr>
          <t>Isolated structural cracks or breaks requiring repair</t>
        </r>
      </text>
    </comment>
    <comment ref="N71" authorId="1" shapeId="0" xr:uid="{8762AFF3-6223-40BD-8F56-F3E8C9E2B9CE}">
      <text>
        <r>
          <rPr>
            <b/>
            <sz val="9"/>
            <color indexed="81"/>
            <rFont val="Tahoma"/>
            <family val="2"/>
          </rPr>
          <t xml:space="preserve">Structural integrity as been compromised requiring replacement
</t>
        </r>
        <r>
          <rPr>
            <sz val="9"/>
            <color indexed="81"/>
            <rFont val="Tahoma"/>
            <family val="2"/>
          </rPr>
          <t xml:space="preserve">
</t>
        </r>
      </text>
    </comment>
    <comment ref="H73" authorId="0" shapeId="0" xr:uid="{00000000-0006-0000-0200-000099000000}">
      <text>
        <r>
          <rPr>
            <b/>
            <sz val="9"/>
            <color indexed="81"/>
            <rFont val="Tahoma"/>
            <family val="2"/>
          </rPr>
          <t>Surface is in tact but finish is deteriorated - paint.</t>
        </r>
      </text>
    </comment>
    <comment ref="J73" authorId="1" shapeId="0" xr:uid="{6E809F0D-16AE-4DB1-B03F-A73E73DDA6E2}">
      <text>
        <r>
          <rPr>
            <b/>
            <sz val="9"/>
            <color indexed="81"/>
            <rFont val="Tahoma"/>
            <family val="2"/>
          </rPr>
          <t>Surface is damaged - patching of the surface is required prior to painting.</t>
        </r>
      </text>
    </comment>
    <comment ref="L73" authorId="1" shapeId="0" xr:uid="{09557E43-50AB-4DE2-A565-5A5049E8A37C}">
      <text>
        <r>
          <rPr>
            <b/>
            <sz val="9"/>
            <color indexed="81"/>
            <rFont val="Tahoma"/>
            <family val="2"/>
          </rPr>
          <t>Cracks visible - route and patch prior to painting.</t>
        </r>
      </text>
    </comment>
    <comment ref="N73" authorId="0" shapeId="0" xr:uid="{00000000-0006-0000-0200-00009A000000}">
      <text>
        <r>
          <rPr>
            <b/>
            <sz val="9"/>
            <color indexed="81"/>
            <rFont val="Tahoma"/>
            <family val="2"/>
          </rPr>
          <t>Systemic failure of finish, possible water intrusion - requires removal and replacement.</t>
        </r>
      </text>
    </comment>
    <comment ref="P73" authorId="0" shapeId="0" xr:uid="{00000000-0006-0000-0200-000098000000}">
      <text>
        <r>
          <rPr>
            <b/>
            <sz val="9"/>
            <color indexed="81"/>
            <rFont val="Tahoma"/>
            <family val="2"/>
          </rPr>
          <t>Systemic failure of finish, possible water intrusion - requires removal and replacement</t>
        </r>
      </text>
    </comment>
    <comment ref="H74" authorId="0" shapeId="0" xr:uid="{00000000-0006-0000-0200-00009C000000}">
      <text>
        <r>
          <rPr>
            <b/>
            <sz val="9"/>
            <color indexed="81"/>
            <rFont val="Tahoma"/>
            <family val="2"/>
          </rPr>
          <t>Surface is in tact but finish is deteriorated - paint.</t>
        </r>
      </text>
    </comment>
    <comment ref="J74" authorId="0" shapeId="0" xr:uid="{00000000-0006-0000-0200-00009D000000}">
      <text>
        <r>
          <rPr>
            <b/>
            <sz val="9"/>
            <color indexed="81"/>
            <rFont val="Tahoma"/>
            <family val="2"/>
          </rPr>
          <t>Surface is damaged - patching of the surface is required prior to painting.</t>
        </r>
      </text>
    </comment>
    <comment ref="L74" authorId="1" shapeId="0" xr:uid="{CEA6A83F-7D27-4F47-BFE6-6F5BCF98212E}">
      <text>
        <r>
          <rPr>
            <b/>
            <sz val="9"/>
            <color indexed="81"/>
            <rFont val="Tahoma"/>
            <family val="2"/>
          </rPr>
          <t>Cracks visible - route and patch prior to painting.</t>
        </r>
      </text>
    </comment>
    <comment ref="N74" authorId="0" shapeId="0" xr:uid="{00000000-0006-0000-0200-00009E000000}">
      <text>
        <r>
          <rPr>
            <b/>
            <sz val="9"/>
            <color indexed="81"/>
            <rFont val="Tahoma"/>
            <family val="2"/>
          </rPr>
          <t>Systemic failure of finish, possible water intrusion - requires removal and replacement.</t>
        </r>
      </text>
    </comment>
    <comment ref="P74" authorId="0" shapeId="0" xr:uid="{00000000-0006-0000-0200-00009B000000}">
      <text>
        <r>
          <rPr>
            <b/>
            <sz val="9"/>
            <color indexed="81"/>
            <rFont val="Tahoma"/>
            <family val="2"/>
          </rPr>
          <t>Systemic failure of finish, possible water intrusion - requires removal and replacement</t>
        </r>
      </text>
    </comment>
    <comment ref="H75" authorId="0" shapeId="0" xr:uid="{00000000-0006-0000-0200-0000A0000000}">
      <text>
        <r>
          <rPr>
            <b/>
            <sz val="9"/>
            <color indexed="81"/>
            <rFont val="Tahoma"/>
            <family val="2"/>
          </rPr>
          <t>Surface is in tact but finish is deteriorated - paint.</t>
        </r>
      </text>
    </comment>
    <comment ref="J75" authorId="1" shapeId="0" xr:uid="{5B9E479C-65D1-4DFA-BB0F-60C6F75BBB91}">
      <text>
        <r>
          <rPr>
            <b/>
            <sz val="9"/>
            <color indexed="81"/>
            <rFont val="Tahoma"/>
            <family val="2"/>
          </rPr>
          <t>Surface is damaged - patching of the surface is required prior to painting.</t>
        </r>
        <r>
          <rPr>
            <sz val="9"/>
            <color indexed="81"/>
            <rFont val="Tahoma"/>
            <family val="2"/>
          </rPr>
          <t xml:space="preserve">
</t>
        </r>
      </text>
    </comment>
    <comment ref="L75" authorId="1" shapeId="0" xr:uid="{110D2470-FBEF-444E-89BD-A397E6C3F499}">
      <text>
        <r>
          <rPr>
            <b/>
            <sz val="9"/>
            <color indexed="81"/>
            <rFont val="Tahoma"/>
            <family val="2"/>
          </rPr>
          <t>A number of panels are damaged, requiring patch and repair prior to re-painting.</t>
        </r>
      </text>
    </comment>
    <comment ref="N75" authorId="0" shapeId="0" xr:uid="{00000000-0006-0000-0200-0000A1000000}">
      <text>
        <r>
          <rPr>
            <b/>
            <sz val="9"/>
            <color indexed="81"/>
            <rFont val="Tahoma"/>
            <family val="2"/>
          </rPr>
          <t>Systemic failure of finish, possible water intrusion - requires removal and replacement.</t>
        </r>
      </text>
    </comment>
    <comment ref="P75" authorId="0" shapeId="0" xr:uid="{00000000-0006-0000-0200-00009F000000}">
      <text>
        <r>
          <rPr>
            <b/>
            <sz val="9"/>
            <color indexed="81"/>
            <rFont val="Tahoma"/>
            <family val="2"/>
          </rPr>
          <t>Systemic failure of finish, possible water intrusion - requires removal and replacement</t>
        </r>
      </text>
    </comment>
    <comment ref="H76" authorId="1" shapeId="0" xr:uid="{C10CE766-809A-42A6-ACFD-D591BC3B8240}">
      <text>
        <r>
          <rPr>
            <b/>
            <sz val="9"/>
            <color indexed="81"/>
            <rFont val="Tahoma"/>
            <family val="2"/>
          </rPr>
          <t>Surface is in tact but finish is deteriorated - paint/repair.</t>
        </r>
      </text>
    </comment>
    <comment ref="J76" authorId="1" shapeId="0" xr:uid="{A1221063-982D-453B-9076-5EA6B14F3F69}">
      <text>
        <r>
          <rPr>
            <b/>
            <sz val="9"/>
            <color indexed="81"/>
            <rFont val="Tahoma"/>
            <family val="2"/>
          </rPr>
          <t>Surface is damaged - patching of the surface is required prior to painting.</t>
        </r>
      </text>
    </comment>
    <comment ref="L76" authorId="1" shapeId="0" xr:uid="{8A372C2E-7A50-4520-B3CD-DE52C29096EE}">
      <text>
        <r>
          <rPr>
            <b/>
            <sz val="9"/>
            <color indexed="81"/>
            <rFont val="Tahoma"/>
            <family val="2"/>
          </rPr>
          <t>A number of panels are damaged, requiring patch and repair prior to re-painting.</t>
        </r>
        <r>
          <rPr>
            <sz val="9"/>
            <color indexed="81"/>
            <rFont val="Tahoma"/>
            <family val="2"/>
          </rPr>
          <t xml:space="preserve">
</t>
        </r>
      </text>
    </comment>
    <comment ref="N76" authorId="1" shapeId="0" xr:uid="{DC9175D8-FC7A-4138-A773-711A1CB2B8CF}">
      <text>
        <r>
          <rPr>
            <b/>
            <sz val="9"/>
            <color indexed="81"/>
            <rFont val="Tahoma"/>
            <family val="2"/>
          </rPr>
          <t>Systemic failure of finish, possible water intrusion - requires removal and replacement.</t>
        </r>
      </text>
    </comment>
    <comment ref="P76" authorId="0" shapeId="0" xr:uid="{00000000-0006-0000-0200-0000A2000000}">
      <text>
        <r>
          <rPr>
            <b/>
            <sz val="9"/>
            <color indexed="81"/>
            <rFont val="Tahoma"/>
            <family val="2"/>
          </rPr>
          <t>Tiles are cracked or in disrepair</t>
        </r>
      </text>
    </comment>
    <comment ref="H77" authorId="1" shapeId="0" xr:uid="{C0F1B899-E5CA-4AC6-976E-486C88322472}">
      <text>
        <r>
          <rPr>
            <b/>
            <sz val="9"/>
            <color indexed="81"/>
            <rFont val="Tahoma"/>
            <family val="2"/>
          </rPr>
          <t>Surface is in tact but finish is deteriorated - paint/repair.</t>
        </r>
      </text>
    </comment>
    <comment ref="J77" authorId="1" shapeId="0" xr:uid="{27E7E37B-68BD-46EF-BD50-C2050EAA2343}">
      <text>
        <r>
          <rPr>
            <b/>
            <sz val="9"/>
            <color indexed="81"/>
            <rFont val="Tahoma"/>
            <family val="2"/>
          </rPr>
          <t xml:space="preserve">Surface is damaged - patching of the surface is required prior to painting.
</t>
        </r>
      </text>
    </comment>
    <comment ref="L77" authorId="1" shapeId="0" xr:uid="{C5A5585F-195F-4E4C-BA60-8706CF9C6677}">
      <text>
        <r>
          <rPr>
            <b/>
            <sz val="9"/>
            <color indexed="81"/>
            <rFont val="Tahoma"/>
            <family val="2"/>
          </rPr>
          <t>A number of panels are damaged, requiring patch and repair prior to re-painting.</t>
        </r>
      </text>
    </comment>
    <comment ref="N77" authorId="1" shapeId="0" xr:uid="{2DEDB6CB-CE29-4043-9F98-F1601CDAED1A}">
      <text>
        <r>
          <rPr>
            <b/>
            <sz val="9"/>
            <color indexed="81"/>
            <rFont val="Tahoma"/>
            <family val="2"/>
          </rPr>
          <t>Systemic failure of finish, possible water intrusion - requires removal and replacement.</t>
        </r>
      </text>
    </comment>
    <comment ref="H78" authorId="1" shapeId="0" xr:uid="{1B231283-7E50-4880-A916-3CD0055D70B5}">
      <text>
        <r>
          <rPr>
            <b/>
            <sz val="9"/>
            <color indexed="81"/>
            <rFont val="Tahoma"/>
            <family val="2"/>
          </rPr>
          <t>Surface is in tact but finish is deteriorated - paint/repair.</t>
        </r>
      </text>
    </comment>
    <comment ref="J78" authorId="1" shapeId="0" xr:uid="{FF2C1522-B276-4302-9B52-60ABF2A97BBC}">
      <text>
        <r>
          <rPr>
            <b/>
            <sz val="9"/>
            <color indexed="81"/>
            <rFont val="Tahoma"/>
            <family val="2"/>
          </rPr>
          <t>Surface is damaged - patching of the surface is required prior to painting.</t>
        </r>
      </text>
    </comment>
    <comment ref="L78" authorId="1" shapeId="0" xr:uid="{56743B84-D4B6-458D-A727-2A34ED5A1B81}">
      <text>
        <r>
          <rPr>
            <b/>
            <sz val="9"/>
            <color indexed="81"/>
            <rFont val="Tahoma"/>
            <family val="2"/>
          </rPr>
          <t>A number of panels are damaged, requiring patch and repair prior to re-painting.</t>
        </r>
        <r>
          <rPr>
            <sz val="9"/>
            <color indexed="81"/>
            <rFont val="Tahoma"/>
            <family val="2"/>
          </rPr>
          <t xml:space="preserve">
</t>
        </r>
      </text>
    </comment>
    <comment ref="N78" authorId="1" shapeId="0" xr:uid="{ADC37ED4-00FC-499B-991A-B0F79D082FC6}">
      <text>
        <r>
          <rPr>
            <b/>
            <sz val="9"/>
            <color indexed="81"/>
            <rFont val="Tahoma"/>
            <family val="2"/>
          </rPr>
          <t>Systemic failure of finish, possible water intrusion - requires removal and replacement.</t>
        </r>
      </text>
    </comment>
    <comment ref="H79" authorId="0" shapeId="0" xr:uid="{00000000-0006-0000-0200-0000A3000000}">
      <text>
        <r>
          <rPr>
            <b/>
            <sz val="9"/>
            <color indexed="81"/>
            <rFont val="Tahoma"/>
            <family val="2"/>
          </rPr>
          <t>Grout is damaged or deteriorated.</t>
        </r>
      </text>
    </comment>
    <comment ref="J79" authorId="1" shapeId="0" xr:uid="{9673DB7B-4D64-4251-AE8A-7FC438E95375}">
      <text>
        <r>
          <rPr>
            <b/>
            <sz val="9"/>
            <color indexed="81"/>
            <rFont val="Tahoma"/>
            <family val="2"/>
          </rPr>
          <t>Surface is damaged - patching of the surface is required.</t>
        </r>
      </text>
    </comment>
    <comment ref="L79" authorId="1" shapeId="0" xr:uid="{1B9712C4-049C-468B-8873-7351AC27866D}">
      <text>
        <r>
          <rPr>
            <b/>
            <sz val="9"/>
            <color indexed="81"/>
            <rFont val="Tahoma"/>
            <family val="2"/>
          </rPr>
          <t>A number of tiles are damaged or missing requiring repair and replace of sections</t>
        </r>
        <r>
          <rPr>
            <sz val="9"/>
            <color indexed="81"/>
            <rFont val="Tahoma"/>
            <family val="2"/>
          </rPr>
          <t xml:space="preserve">
</t>
        </r>
      </text>
    </comment>
    <comment ref="N79" authorId="0" shapeId="0" xr:uid="{00000000-0006-0000-0200-0000A4000000}">
      <text>
        <r>
          <rPr>
            <b/>
            <sz val="9"/>
            <color indexed="81"/>
            <rFont val="Tahoma"/>
            <family val="2"/>
          </rPr>
          <t>Tiles are cracked or in disrepair.</t>
        </r>
      </text>
    </comment>
    <comment ref="H80" authorId="1" shapeId="0" xr:uid="{1630E8BC-5D5B-4FEC-9D1B-F5DE325835A7}">
      <text>
        <r>
          <rPr>
            <b/>
            <sz val="9"/>
            <color indexed="81"/>
            <rFont val="Tahoma"/>
            <family val="2"/>
          </rPr>
          <t xml:space="preserve">Sporadic number of sections are worn down to pad.
</t>
        </r>
      </text>
    </comment>
    <comment ref="J80" authorId="1" shapeId="0" xr:uid="{D9D74DB3-4C55-4811-80A3-AC00C7769414}">
      <text>
        <r>
          <rPr>
            <b/>
            <sz val="9"/>
            <color indexed="81"/>
            <rFont val="Tahoma"/>
            <family val="2"/>
          </rPr>
          <t>Sporadic number of sections are worn and tearing through to pad requiring repair</t>
        </r>
      </text>
    </comment>
    <comment ref="L80" authorId="1" shapeId="0" xr:uid="{1BE2D677-3C72-422B-92FD-5E809C9858C5}">
      <text>
        <r>
          <rPr>
            <b/>
            <sz val="9"/>
            <color indexed="81"/>
            <rFont val="Tahoma"/>
            <family val="2"/>
          </rPr>
          <t>Worn or stained or starting to pull up/bubble requiring sections to be replaced</t>
        </r>
      </text>
    </comment>
    <comment ref="N80" authorId="0" shapeId="0" xr:uid="{00000000-0006-0000-0200-0000A6000000}">
      <text>
        <r>
          <rPr>
            <b/>
            <sz val="9"/>
            <color indexed="81"/>
            <rFont val="Tahoma"/>
            <family val="2"/>
          </rPr>
          <t>Worn or severely stained or starting to pull up/bubble requiring full replacement.</t>
        </r>
      </text>
    </comment>
    <comment ref="P80" authorId="0" shapeId="0" xr:uid="{00000000-0006-0000-0200-0000A5000000}">
      <text>
        <r>
          <rPr>
            <b/>
            <sz val="9"/>
            <color indexed="81"/>
            <rFont val="Tahoma"/>
            <family val="2"/>
          </rPr>
          <t>worn or severely stained or starting to pull up / bubble</t>
        </r>
      </text>
    </comment>
    <comment ref="H81" authorId="0" shapeId="0" xr:uid="{00000000-0006-0000-0200-0000A8000000}">
      <text>
        <r>
          <rPr>
            <b/>
            <sz val="9"/>
            <color indexed="81"/>
            <rFont val="Tahoma"/>
            <family val="2"/>
          </rPr>
          <t>Sporadic number of tiles are lifting or cracked/broken and require replacement.</t>
        </r>
      </text>
    </comment>
    <comment ref="J81" authorId="1" shapeId="0" xr:uid="{41DD407C-5C64-41C7-B212-7FC5097AF7B6}">
      <text>
        <r>
          <rPr>
            <b/>
            <sz val="9"/>
            <color indexed="81"/>
            <rFont val="Tahoma"/>
            <family val="2"/>
          </rPr>
          <t>Sections of tiles are lifting, cracking/broken and require repair or replacement in those sections- the tiles or glue are NOT asbestos.</t>
        </r>
      </text>
    </comment>
    <comment ref="L81" authorId="0" shapeId="0" xr:uid="{00000000-0006-0000-0200-0000A9000000}">
      <text>
        <r>
          <rPr>
            <b/>
            <sz val="9"/>
            <color indexed="81"/>
            <rFont val="Tahoma"/>
            <family val="2"/>
          </rPr>
          <t xml:space="preserve">The majority of tiles are lifting, cracking/broken and require replacement - the tiles or glue are </t>
        </r>
        <r>
          <rPr>
            <b/>
            <u/>
            <sz val="9"/>
            <color indexed="81"/>
            <rFont val="Tahoma"/>
            <family val="2"/>
          </rPr>
          <t>NOT</t>
        </r>
        <r>
          <rPr>
            <b/>
            <sz val="9"/>
            <color indexed="81"/>
            <rFont val="Tahoma"/>
            <family val="2"/>
          </rPr>
          <t xml:space="preserve"> asbestos.</t>
        </r>
      </text>
    </comment>
    <comment ref="N81" authorId="0" shapeId="0" xr:uid="{00000000-0006-0000-0200-0000AA000000}">
      <text>
        <r>
          <rPr>
            <b/>
            <sz val="9"/>
            <color indexed="81"/>
            <rFont val="Tahoma"/>
            <family val="2"/>
          </rPr>
          <t>The majority of tiles are lifting, cracking/broken and require replacement - the tiles or glue are asbestos.</t>
        </r>
      </text>
    </comment>
    <comment ref="P81" authorId="0" shapeId="0" xr:uid="{00000000-0006-0000-0200-0000A7000000}">
      <text>
        <r>
          <rPr>
            <b/>
            <sz val="9"/>
            <color indexed="81"/>
            <rFont val="Tahoma"/>
            <family val="2"/>
          </rPr>
          <t>The majority of tiles are lifting, cracking / broken and require replacement - the tiles or glue are asbestos</t>
        </r>
      </text>
    </comment>
    <comment ref="H82" authorId="1" shapeId="0" xr:uid="{CD493F96-0F2F-4206-88F2-76E7F92CEDF3}">
      <text>
        <r>
          <rPr>
            <b/>
            <sz val="9"/>
            <color indexed="81"/>
            <rFont val="Tahoma"/>
            <family val="2"/>
          </rPr>
          <t>Sections are starting to show signs of wear requiring maintenance</t>
        </r>
      </text>
    </comment>
    <comment ref="J82" authorId="1" shapeId="0" xr:uid="{CC33BCA1-99D1-4228-831F-403A15FE917E}">
      <text>
        <r>
          <rPr>
            <b/>
            <sz val="9"/>
            <color indexed="81"/>
            <rFont val="Tahoma"/>
            <family val="2"/>
          </rPr>
          <t>Sporadic sections are damaged and require repair</t>
        </r>
      </text>
    </comment>
    <comment ref="L82" authorId="1" shapeId="0" xr:uid="{B4A9A2B4-02F6-4573-BA73-E9356E5DEECD}">
      <text>
        <r>
          <rPr>
            <b/>
            <sz val="9"/>
            <color indexed="81"/>
            <rFont val="Tahoma"/>
            <family val="2"/>
          </rPr>
          <t>Sections are worn or seams separating are separating - repair and replace section only.</t>
        </r>
      </text>
    </comment>
    <comment ref="N82" authorId="0" shapeId="0" xr:uid="{00000000-0006-0000-0200-0000AC000000}">
      <text>
        <r>
          <rPr>
            <b/>
            <sz val="9"/>
            <color indexed="81"/>
            <rFont val="Tahoma"/>
            <family val="2"/>
          </rPr>
          <t>Severely worn or seams separating - replace.</t>
        </r>
      </text>
    </comment>
    <comment ref="P82" authorId="0" shapeId="0" xr:uid="{00000000-0006-0000-0200-0000AB000000}">
      <text>
        <r>
          <rPr>
            <b/>
            <sz val="9"/>
            <color indexed="81"/>
            <rFont val="Tahoma"/>
            <family val="2"/>
          </rPr>
          <t>Severely worn or seams separating - replace</t>
        </r>
      </text>
    </comment>
    <comment ref="H83" authorId="0" shapeId="0" xr:uid="{00000000-0006-0000-0200-0000AE000000}">
      <text>
        <r>
          <rPr>
            <b/>
            <sz val="9"/>
            <color indexed="81"/>
            <rFont val="Tahoma"/>
            <family val="2"/>
          </rPr>
          <t>Surface feels rough and/or taking in moisture from the surface resulting in staining - prep and re-seal.</t>
        </r>
      </text>
    </comment>
    <comment ref="J83" authorId="1" shapeId="0" xr:uid="{B1D02395-A81A-436E-BC78-135C0668B0CA}">
      <text>
        <r>
          <rPr>
            <b/>
            <sz val="9"/>
            <color indexed="81"/>
            <rFont val="Tahoma"/>
            <family val="2"/>
          </rPr>
          <t>Sporadic sections are damaged and patch and seal</t>
        </r>
      </text>
    </comment>
    <comment ref="L83" authorId="1" shapeId="0" xr:uid="{F67DF72D-D3A3-40F6-9E97-2BF2251EA015}">
      <text>
        <r>
          <rPr>
            <b/>
            <sz val="9"/>
            <color indexed="81"/>
            <rFont val="Tahoma"/>
            <family val="2"/>
          </rPr>
          <t>Damaged areas or hairline cracking, but not differential - requires patch and seal</t>
        </r>
      </text>
    </comment>
    <comment ref="N83" authorId="0" shapeId="0" xr:uid="{00000000-0006-0000-0200-0000AF000000}">
      <text>
        <r>
          <rPr>
            <b/>
            <sz val="9"/>
            <color indexed="81"/>
            <rFont val="Tahoma"/>
            <family val="2"/>
          </rPr>
          <t>Significant cracking, but not differential - requires prep and crack filling prior to re-seal.  If differential, refer to slab on grade of floor construction above.</t>
        </r>
      </text>
    </comment>
    <comment ref="P83" authorId="0" shapeId="0" xr:uid="{00000000-0006-0000-0200-0000AD000000}">
      <text>
        <r>
          <rPr>
            <b/>
            <sz val="9"/>
            <color indexed="81"/>
            <rFont val="Tahoma"/>
            <family val="2"/>
          </rPr>
          <t>Significant cracking, but not differential - requires prep and crack filling prior to re-seal.  If differential, refer to slab on grade of floor construction above</t>
        </r>
      </text>
    </comment>
    <comment ref="H84" authorId="0" shapeId="0" xr:uid="{00000000-0006-0000-0200-0000B1000000}">
      <text>
        <r>
          <rPr>
            <b/>
            <sz val="9"/>
            <color indexed="81"/>
            <rFont val="Tahoma"/>
            <family val="2"/>
          </rPr>
          <t>Grout is damaged or deteriorated.</t>
        </r>
      </text>
    </comment>
    <comment ref="J84" authorId="1" shapeId="0" xr:uid="{9A6A8F10-C8A9-4509-B706-DFFC3E970860}">
      <text>
        <r>
          <rPr>
            <b/>
            <sz val="9"/>
            <color indexed="81"/>
            <rFont val="Tahoma"/>
            <family val="2"/>
          </rPr>
          <t>Sporadic sections are damaged and require repair or replacement tiles in those locations</t>
        </r>
      </text>
    </comment>
    <comment ref="L84" authorId="1" shapeId="0" xr:uid="{22DCD1D3-2BE0-4DC9-9A6D-0651F1F09529}">
      <text>
        <r>
          <rPr>
            <b/>
            <sz val="9"/>
            <color indexed="81"/>
            <rFont val="Tahoma"/>
            <family val="2"/>
          </rPr>
          <t>Sections of tile are damaged requiring full repair and replace</t>
        </r>
        <r>
          <rPr>
            <sz val="9"/>
            <color indexed="81"/>
            <rFont val="Tahoma"/>
            <family val="2"/>
          </rPr>
          <t xml:space="preserve">
</t>
        </r>
      </text>
    </comment>
    <comment ref="N84" authorId="0" shapeId="0" xr:uid="{00000000-0006-0000-0200-0000B2000000}">
      <text>
        <r>
          <rPr>
            <b/>
            <sz val="9"/>
            <color indexed="81"/>
            <rFont val="Tahoma"/>
            <family val="2"/>
          </rPr>
          <t>Tiles are cracked or in disrepair requiring full removal and leveling of surface and retile</t>
        </r>
      </text>
    </comment>
    <comment ref="P84" authorId="0" shapeId="0" xr:uid="{00000000-0006-0000-0200-0000B0000000}">
      <text>
        <r>
          <rPr>
            <b/>
            <sz val="9"/>
            <color indexed="81"/>
            <rFont val="Tahoma"/>
            <family val="2"/>
          </rPr>
          <t>Tiles are cracked or in disrepair</t>
        </r>
      </text>
    </comment>
    <comment ref="H85" authorId="1" shapeId="0" xr:uid="{132F55C6-D1AC-4DF0-9A9D-2D735EA9DDB3}">
      <text>
        <r>
          <rPr>
            <b/>
            <sz val="9"/>
            <color indexed="81"/>
            <rFont val="Tahoma"/>
            <family val="2"/>
          </rPr>
          <t>Sections are starting to show signs of wear requiring maintenance</t>
        </r>
      </text>
    </comment>
    <comment ref="J85" authorId="1" shapeId="0" xr:uid="{B9D056BD-0D11-497E-B65C-5488B186125B}">
      <text>
        <r>
          <rPr>
            <b/>
            <sz val="9"/>
            <color indexed="81"/>
            <rFont val="Tahoma"/>
            <family val="2"/>
          </rPr>
          <t>Sporadic sections are damaged and require repair</t>
        </r>
      </text>
    </comment>
    <comment ref="L85" authorId="1" shapeId="0" xr:uid="{8AB8D762-3660-4F45-A8F5-3181613AE946}">
      <text>
        <r>
          <rPr>
            <b/>
            <sz val="9"/>
            <color indexed="81"/>
            <rFont val="Tahoma"/>
            <family val="2"/>
          </rPr>
          <t>Sections are bubbling or cracking requiring prep and patch</t>
        </r>
        <r>
          <rPr>
            <sz val="9"/>
            <color indexed="81"/>
            <rFont val="Tahoma"/>
            <family val="2"/>
          </rPr>
          <t xml:space="preserve">
</t>
        </r>
      </text>
    </comment>
    <comment ref="N85" authorId="0" shapeId="0" xr:uid="{00000000-0006-0000-0200-0000B4000000}">
      <text>
        <r>
          <rPr>
            <b/>
            <sz val="9"/>
            <color indexed="81"/>
            <rFont val="Tahoma"/>
            <family val="2"/>
          </rPr>
          <t>Systemic blistering or severely worn traffic areas - strip and replace.</t>
        </r>
      </text>
    </comment>
    <comment ref="P85" authorId="0" shapeId="0" xr:uid="{00000000-0006-0000-0200-0000B3000000}">
      <text>
        <r>
          <rPr>
            <b/>
            <sz val="9"/>
            <color indexed="81"/>
            <rFont val="Tahoma"/>
            <family val="2"/>
          </rPr>
          <t>Systemic blistering or severely worn traffic areas - strip and replace</t>
        </r>
      </text>
    </comment>
    <comment ref="H86" authorId="1" shapeId="0" xr:uid="{B521226B-2B0D-4971-8664-E5583ED19B04}">
      <text>
        <r>
          <rPr>
            <b/>
            <sz val="9"/>
            <color indexed="81"/>
            <rFont val="Tahoma"/>
            <family val="2"/>
          </rPr>
          <t>Sections are starting to show signs of wear requiring maintenance</t>
        </r>
      </text>
    </comment>
    <comment ref="J86" authorId="0" shapeId="0" xr:uid="{00000000-0006-0000-0200-0000B6000000}">
      <text>
        <r>
          <rPr>
            <b/>
            <sz val="9"/>
            <color indexed="81"/>
            <rFont val="Tahoma"/>
            <family val="2"/>
          </rPr>
          <t>Surface is damaged - requires sanding, repair, and re-coat/re-stripe.</t>
        </r>
      </text>
    </comment>
    <comment ref="L86" authorId="1" shapeId="0" xr:uid="{DD13D302-F897-499F-AB21-03D9A6E9AF58}">
      <text>
        <r>
          <rPr>
            <b/>
            <sz val="9"/>
            <color indexed="81"/>
            <rFont val="Tahoma"/>
            <family val="2"/>
          </rPr>
          <t>Sections are starting to warp or cup requiring those sections to be repaired or replaced</t>
        </r>
        <r>
          <rPr>
            <sz val="9"/>
            <color indexed="81"/>
            <rFont val="Tahoma"/>
            <family val="2"/>
          </rPr>
          <t xml:space="preserve">
</t>
        </r>
      </text>
    </comment>
    <comment ref="N86" authorId="0" shapeId="0" xr:uid="{00000000-0006-0000-0200-0000B7000000}">
      <text>
        <r>
          <rPr>
            <b/>
            <sz val="9"/>
            <color indexed="81"/>
            <rFont val="Tahoma"/>
            <family val="2"/>
          </rPr>
          <t>Wood planks are deteriorated, separating, and multiple dead spots - replace floor.</t>
        </r>
      </text>
    </comment>
    <comment ref="P86" authorId="0" shapeId="0" xr:uid="{00000000-0006-0000-0200-0000B5000000}">
      <text>
        <r>
          <rPr>
            <b/>
            <sz val="9"/>
            <color indexed="81"/>
            <rFont val="Tahoma"/>
            <family val="2"/>
          </rPr>
          <t>Wood planks are deteriorated, separating, and multiple dead spots - replace floor</t>
        </r>
      </text>
    </comment>
    <comment ref="H87" authorId="0" shapeId="0" xr:uid="{00000000-0006-0000-0200-0000B9000000}">
      <text>
        <r>
          <rPr>
            <b/>
            <sz val="9"/>
            <color indexed="81"/>
            <rFont val="Tahoma"/>
            <family val="2"/>
          </rPr>
          <t>Surface is in tact but finish is deteriorated - paint.</t>
        </r>
      </text>
    </comment>
    <comment ref="J87" authorId="0" shapeId="0" xr:uid="{00000000-0006-0000-0200-0000BA000000}">
      <text>
        <r>
          <rPr>
            <b/>
            <sz val="9"/>
            <color indexed="81"/>
            <rFont val="Tahoma"/>
            <family val="2"/>
          </rPr>
          <t>Surface is damaged - patching of the surface is required prior to painting.</t>
        </r>
      </text>
    </comment>
    <comment ref="L87" authorId="1" shapeId="0" xr:uid="{0D1DC35D-2F57-4E1E-8883-E400532A72B2}">
      <text>
        <r>
          <rPr>
            <b/>
            <sz val="9"/>
            <color indexed="81"/>
            <rFont val="Tahoma"/>
            <family val="2"/>
          </rPr>
          <t>Cracks visible - route and patch prior to painting.</t>
        </r>
      </text>
    </comment>
    <comment ref="N87" authorId="0" shapeId="0" xr:uid="{00000000-0006-0000-0200-0000BB000000}">
      <text>
        <r>
          <rPr>
            <b/>
            <sz val="9"/>
            <color indexed="81"/>
            <rFont val="Tahoma"/>
            <family val="2"/>
          </rPr>
          <t>Systemic failure of finish, possible water intrusion - requires removal and replacement.</t>
        </r>
      </text>
    </comment>
    <comment ref="P87" authorId="0" shapeId="0" xr:uid="{00000000-0006-0000-0200-0000B8000000}">
      <text>
        <r>
          <rPr>
            <b/>
            <sz val="9"/>
            <color indexed="81"/>
            <rFont val="Tahoma"/>
            <family val="2"/>
          </rPr>
          <t>Systemic failure of finish, possible water intrusion - requires removal and replacement</t>
        </r>
      </text>
    </comment>
    <comment ref="H88" authorId="0" shapeId="0" xr:uid="{00000000-0006-0000-0200-0000BD000000}">
      <text>
        <r>
          <rPr>
            <b/>
            <sz val="9"/>
            <color indexed="81"/>
            <rFont val="Tahoma"/>
            <family val="2"/>
          </rPr>
          <t>Stained or damaged ceiling tiles.</t>
        </r>
      </text>
    </comment>
    <comment ref="J88" authorId="0" shapeId="0" xr:uid="{00000000-0006-0000-0200-0000BE000000}">
      <text>
        <r>
          <rPr>
            <b/>
            <sz val="9"/>
            <color indexed="81"/>
            <rFont val="Tahoma"/>
            <family val="2"/>
          </rPr>
          <t>Diagonal bracing missing from grid.</t>
        </r>
      </text>
    </comment>
    <comment ref="L88" authorId="1" shapeId="0" xr:uid="{785CB796-94C5-4876-8804-40B34129F4B9}">
      <text>
        <r>
          <rPr>
            <b/>
            <sz val="9"/>
            <color indexed="81"/>
            <rFont val="Tahoma"/>
            <family val="2"/>
          </rPr>
          <t>Tiles are sagging or grid is shifting in sections</t>
        </r>
      </text>
    </comment>
    <comment ref="N88" authorId="0" shapeId="0" xr:uid="{00000000-0006-0000-0200-0000BF000000}">
      <text>
        <r>
          <rPr>
            <b/>
            <sz val="9"/>
            <color indexed="81"/>
            <rFont val="Tahoma"/>
            <family val="2"/>
          </rPr>
          <t>Grid is sagging with tiles compromised - requires replacement of system.</t>
        </r>
      </text>
    </comment>
    <comment ref="P88" authorId="0" shapeId="0" xr:uid="{00000000-0006-0000-0200-0000BC000000}">
      <text>
        <r>
          <rPr>
            <b/>
            <sz val="9"/>
            <color indexed="81"/>
            <rFont val="Tahoma"/>
            <family val="2"/>
          </rPr>
          <t>Grid is sagging with tiles compromised - requires replacement of system</t>
        </r>
      </text>
    </comment>
    <comment ref="H89" authorId="0" shapeId="0" xr:uid="{00000000-0006-0000-0200-0000C1000000}">
      <text>
        <r>
          <rPr>
            <b/>
            <sz val="9"/>
            <color indexed="81"/>
            <rFont val="Tahoma"/>
            <family val="2"/>
          </rPr>
          <t>Stained or damaged ceiling tiles.</t>
        </r>
      </text>
    </comment>
    <comment ref="J89" authorId="1" shapeId="0" xr:uid="{CC8C0733-15CD-4905-B00F-6CEB4F942C49}">
      <text>
        <r>
          <rPr>
            <b/>
            <sz val="9"/>
            <color indexed="81"/>
            <rFont val="Tahoma"/>
            <family val="2"/>
          </rPr>
          <t>Panels are damaged with sections chipped or removed</t>
        </r>
      </text>
    </comment>
    <comment ref="L89" authorId="1" shapeId="0" xr:uid="{F2813DE3-974D-4AC6-83F6-A4D896A7563F}">
      <text>
        <r>
          <rPr>
            <b/>
            <sz val="9"/>
            <color indexed="81"/>
            <rFont val="Tahoma"/>
            <family val="2"/>
          </rPr>
          <t>Tiles are sagging or adhesive is delaminating from panel</t>
        </r>
      </text>
    </comment>
    <comment ref="N89" authorId="0" shapeId="0" xr:uid="{00000000-0006-0000-0200-0000C2000000}">
      <text>
        <r>
          <rPr>
            <b/>
            <sz val="9"/>
            <color indexed="81"/>
            <rFont val="Tahoma"/>
            <family val="2"/>
          </rPr>
          <t>Systemic failure of finish, possible water intrusion - requires removal and replacement.</t>
        </r>
      </text>
    </comment>
    <comment ref="P89" authorId="0" shapeId="0" xr:uid="{00000000-0006-0000-0200-0000C0000000}">
      <text>
        <r>
          <rPr>
            <b/>
            <sz val="9"/>
            <color indexed="81"/>
            <rFont val="Tahoma"/>
            <family val="2"/>
          </rPr>
          <t>Systemic failure of finish, possible water intrusion - requires removal and replacement</t>
        </r>
      </text>
    </comment>
    <comment ref="H90" authorId="0" shapeId="0" xr:uid="{FCCDC296-94BA-44F6-A476-A214500EEE0C}">
      <text>
        <r>
          <rPr>
            <b/>
            <sz val="9"/>
            <color indexed="81"/>
            <rFont val="Tahoma"/>
            <family val="2"/>
          </rPr>
          <t>Stained or damaged ceiling tiles.</t>
        </r>
      </text>
    </comment>
    <comment ref="J90" authorId="1" shapeId="0" xr:uid="{91058E8A-8932-49C8-8670-DF674E447749}">
      <text>
        <r>
          <rPr>
            <b/>
            <sz val="9"/>
            <color indexed="81"/>
            <rFont val="Tahoma"/>
            <family val="2"/>
          </rPr>
          <t xml:space="preserve">Panels are damaged with sections chipped or removed
</t>
        </r>
        <r>
          <rPr>
            <sz val="9"/>
            <color indexed="81"/>
            <rFont val="Tahoma"/>
            <family val="2"/>
          </rPr>
          <t xml:space="preserve">
</t>
        </r>
      </text>
    </comment>
    <comment ref="L90" authorId="1" shapeId="0" xr:uid="{9CCB8EBE-7FC6-48DD-9366-AE6943BACEA3}">
      <text>
        <r>
          <rPr>
            <b/>
            <sz val="9"/>
            <color indexed="81"/>
            <rFont val="Tahoma"/>
            <family val="2"/>
          </rPr>
          <t>Tiles are sagging or adhesive is delaminating from panel</t>
        </r>
      </text>
    </comment>
    <comment ref="N90" authorId="0" shapeId="0" xr:uid="{39668897-E5C6-4D63-8B08-E0D002382C85}">
      <text>
        <r>
          <rPr>
            <b/>
            <sz val="9"/>
            <color indexed="81"/>
            <rFont val="Tahoma"/>
            <family val="2"/>
          </rPr>
          <t>Systemic failure of finish, possible water intrusion - requires removal and replacement.</t>
        </r>
      </text>
    </comment>
    <comment ref="P90" authorId="0" shapeId="0" xr:uid="{00000000-0006-0000-0200-0000C3000000}">
      <text>
        <r>
          <rPr>
            <b/>
            <sz val="9"/>
            <color indexed="81"/>
            <rFont val="Tahoma"/>
            <family val="2"/>
          </rPr>
          <t>Surface is in tact but finish is deteriorated - paint</t>
        </r>
      </text>
    </comment>
    <comment ref="H91" authorId="1" shapeId="0" xr:uid="{06FD4CFC-71D1-46B1-9A26-01FAFF48B01D}">
      <text>
        <r>
          <rPr>
            <b/>
            <sz val="9"/>
            <color indexed="81"/>
            <rFont val="Tahoma"/>
            <family val="2"/>
          </rPr>
          <t>Surface is in tact but finish is deteriorated - paint.</t>
        </r>
      </text>
    </comment>
    <comment ref="J91" authorId="1" shapeId="0" xr:uid="{D2AA6FE5-5D17-4DCF-94C9-89AA9A98E13F}">
      <text>
        <r>
          <rPr>
            <b/>
            <sz val="9"/>
            <color indexed="81"/>
            <rFont val="Tahoma"/>
            <family val="2"/>
          </rPr>
          <t>Surface is damaged requiring repair prior to repaint</t>
        </r>
      </text>
    </comment>
    <comment ref="L91" authorId="1" shapeId="0" xr:uid="{5D17CF23-0B71-4255-865D-1C5414B3B307}">
      <text>
        <r>
          <rPr>
            <b/>
            <sz val="9"/>
            <color indexed="81"/>
            <rFont val="Tahoma"/>
            <family val="2"/>
          </rPr>
          <t>Surface is cracked or damaged requiring major repairs.</t>
        </r>
        <r>
          <rPr>
            <sz val="9"/>
            <color indexed="81"/>
            <rFont val="Tahoma"/>
            <family val="2"/>
          </rPr>
          <t xml:space="preserve">
</t>
        </r>
      </text>
    </comment>
    <comment ref="N91" authorId="0" shapeId="0" xr:uid="{00000000-0006-0000-0200-0000C4000000}">
      <text>
        <r>
          <rPr>
            <b/>
            <sz val="9"/>
            <color indexed="81"/>
            <rFont val="Tahoma"/>
            <family val="2"/>
          </rPr>
          <t xml:space="preserve">Surface damaged with possible water intrusion. Replace
</t>
        </r>
      </text>
    </comment>
    <comment ref="C94" authorId="0" shapeId="0" xr:uid="{00000000-0006-0000-0200-0000C6000000}">
      <text>
        <r>
          <rPr>
            <b/>
            <sz val="9"/>
            <color indexed="81"/>
            <rFont val="Tahoma"/>
            <family val="2"/>
          </rPr>
          <t>Assume standard cab-style elevator. Apply per stop.</t>
        </r>
      </text>
    </comment>
    <comment ref="E94" authorId="0" shapeId="0" xr:uid="{00000000-0006-0000-0200-0000C7000000}">
      <text>
        <r>
          <rPr>
            <b/>
            <sz val="9"/>
            <color indexed="81"/>
            <rFont val="Tahoma"/>
            <family val="2"/>
          </rPr>
          <t xml:space="preserve">Insert number of elevators *
number of stories, i.e. if there are 2 elevators each going 3 stories - insert 6.
For data collected in the App prior to 2/1/2022:  </t>
        </r>
        <r>
          <rPr>
            <sz val="9"/>
            <color indexed="81"/>
            <rFont val="Tahoma"/>
            <family val="2"/>
          </rPr>
          <t xml:space="preserve">Verify </t>
        </r>
        <r>
          <rPr>
            <u/>
            <sz val="9"/>
            <color indexed="81"/>
            <rFont val="Tahoma"/>
            <family val="2"/>
          </rPr>
          <t>all</t>
        </r>
        <r>
          <rPr>
            <sz val="9"/>
            <color indexed="81"/>
            <rFont val="Tahoma"/>
            <family val="2"/>
          </rPr>
          <t xml:space="preserve"> CONVEYING fields are filled in on the CONSTRUCTION tab and then re-run PCA.</t>
        </r>
      </text>
    </comment>
    <comment ref="H94" authorId="0" shapeId="0" xr:uid="{00000000-0006-0000-0200-0000C8000000}">
      <text>
        <r>
          <rPr>
            <b/>
            <sz val="9"/>
            <color indexed="81"/>
            <rFont val="Tahoma"/>
            <family val="2"/>
          </rPr>
          <t xml:space="preserve">The elevator doors are damaged and require replacement.
</t>
        </r>
      </text>
    </comment>
    <comment ref="J94" authorId="0" shapeId="0" xr:uid="{00000000-0006-0000-0200-0000C9000000}">
      <text>
        <r>
          <rPr>
            <b/>
            <sz val="9"/>
            <color indexed="81"/>
            <rFont val="Tahoma"/>
            <family val="2"/>
          </rPr>
          <t>Electrical components are not working.</t>
        </r>
      </text>
    </comment>
    <comment ref="L94" authorId="0" shapeId="0" xr:uid="{00000000-0006-0000-0200-0000CA000000}">
      <text>
        <r>
          <rPr>
            <b/>
            <sz val="9"/>
            <color indexed="81"/>
            <rFont val="Tahoma"/>
            <family val="2"/>
          </rPr>
          <t>Replacement of the hoist cables, guide rails, or other similar mechanical components is required.</t>
        </r>
      </text>
    </comment>
    <comment ref="N94" authorId="0" shapeId="0" xr:uid="{00000000-0006-0000-0200-0000CB000000}">
      <text>
        <r>
          <rPr>
            <b/>
            <sz val="9"/>
            <color indexed="81"/>
            <rFont val="Tahoma"/>
            <family val="2"/>
          </rPr>
          <t>Mechanical and electrical components have deteriorated requiring the replacement of the system.</t>
        </r>
      </text>
    </comment>
    <comment ref="P94" authorId="0" shapeId="0" xr:uid="{00000000-0006-0000-0200-0000C5000000}">
      <text>
        <r>
          <rPr>
            <b/>
            <sz val="9"/>
            <color indexed="81"/>
            <rFont val="Tahoma"/>
            <family val="2"/>
          </rPr>
          <t>Mechanical and electrical components have deteriorated requiring the replacement of the system</t>
        </r>
      </text>
    </comment>
    <comment ref="C95" authorId="2" shapeId="0" xr:uid="{00000000-0006-0000-0200-0000CD000000}">
      <text>
        <r>
          <rPr>
            <b/>
            <sz val="9"/>
            <color indexed="81"/>
            <rFont val="Tahoma"/>
            <family val="2"/>
          </rPr>
          <t>Apply per flight.</t>
        </r>
      </text>
    </comment>
    <comment ref="E95" authorId="0" shapeId="0" xr:uid="{00000000-0006-0000-0200-0000CE000000}">
      <text>
        <r>
          <rPr>
            <b/>
            <sz val="9"/>
            <color indexed="81"/>
            <rFont val="Tahoma"/>
            <family val="2"/>
          </rPr>
          <t xml:space="preserve">Insert number of escalators * number of stories - i.e. if there are 2 escalators each going 3 stories - insert 6
For data collected in the App prior to 2/1/2022:  </t>
        </r>
        <r>
          <rPr>
            <sz val="9"/>
            <color indexed="81"/>
            <rFont val="Tahoma"/>
            <family val="2"/>
          </rPr>
          <t xml:space="preserve">Verify </t>
        </r>
        <r>
          <rPr>
            <u/>
            <sz val="9"/>
            <color indexed="81"/>
            <rFont val="Tahoma"/>
            <family val="2"/>
          </rPr>
          <t xml:space="preserve">all </t>
        </r>
        <r>
          <rPr>
            <sz val="9"/>
            <color indexed="81"/>
            <rFont val="Tahoma"/>
            <family val="2"/>
          </rPr>
          <t>CONVEYING fields are filled in on the CONSTRUCTION tab and then re-run PCA.</t>
        </r>
      </text>
    </comment>
    <comment ref="H95" authorId="1" shapeId="0" xr:uid="{FA2E7B71-B5A5-4360-A5CE-F39BD9B46993}">
      <text>
        <r>
          <rPr>
            <b/>
            <sz val="9"/>
            <color indexed="81"/>
            <rFont val="Tahoma"/>
            <family val="2"/>
          </rPr>
          <t>Mechanical Components are not working requiring repair</t>
        </r>
      </text>
    </comment>
    <comment ref="J95" authorId="0" shapeId="0" xr:uid="{00000000-0006-0000-0200-0000CF000000}">
      <text>
        <r>
          <rPr>
            <b/>
            <sz val="9"/>
            <color indexed="81"/>
            <rFont val="Tahoma"/>
            <family val="2"/>
          </rPr>
          <t>Electrical components are not working.</t>
        </r>
      </text>
    </comment>
    <comment ref="L95" authorId="1" shapeId="0" xr:uid="{35CD4B68-040C-4FF4-BC66-0EC725B3125B}">
      <text>
        <r>
          <rPr>
            <b/>
            <sz val="9"/>
            <color indexed="81"/>
            <rFont val="Tahoma"/>
            <family val="2"/>
          </rPr>
          <t>Major mechanical or electrical systems requires repair</t>
        </r>
      </text>
    </comment>
    <comment ref="N95" authorId="0" shapeId="0" xr:uid="{00000000-0006-0000-0200-0000D0000000}">
      <text>
        <r>
          <rPr>
            <b/>
            <sz val="9"/>
            <color indexed="81"/>
            <rFont val="Tahoma"/>
            <family val="2"/>
          </rPr>
          <t>Mechanical and electrical components have deteriorated requiring the replacement of the system.</t>
        </r>
      </text>
    </comment>
    <comment ref="P95" authorId="0" shapeId="0" xr:uid="{00000000-0006-0000-0200-0000CC000000}">
      <text>
        <r>
          <rPr>
            <b/>
            <sz val="9"/>
            <color indexed="81"/>
            <rFont val="Tahoma"/>
            <family val="2"/>
          </rPr>
          <t>Mechanical and electrical components have deteriorated requiring the replacement of the system</t>
        </r>
      </text>
    </comment>
    <comment ref="C96" authorId="0" shapeId="0" xr:uid="{00000000-0006-0000-0200-0000D2000000}">
      <text>
        <r>
          <rPr>
            <b/>
            <sz val="9"/>
            <color indexed="81"/>
            <rFont val="Tahoma"/>
            <family val="2"/>
          </rPr>
          <t>Assume open vertical or inclined lift. Apply per unit.</t>
        </r>
      </text>
    </comment>
    <comment ref="E96" authorId="0" shapeId="0" xr:uid="{00000000-0006-0000-0200-0000D3000000}">
      <text>
        <r>
          <rPr>
            <b/>
            <sz val="9"/>
            <color indexed="81"/>
            <rFont val="Tahoma"/>
            <family val="2"/>
          </rPr>
          <t xml:space="preserve">Insert number of lifts.
For data collected in the App prior to 2/1/2022:  </t>
        </r>
        <r>
          <rPr>
            <sz val="9"/>
            <color indexed="81"/>
            <rFont val="Tahoma"/>
            <family val="2"/>
          </rPr>
          <t xml:space="preserve">Verify </t>
        </r>
        <r>
          <rPr>
            <u/>
            <sz val="9"/>
            <color indexed="81"/>
            <rFont val="Tahoma"/>
            <family val="2"/>
          </rPr>
          <t>all</t>
        </r>
        <r>
          <rPr>
            <sz val="9"/>
            <color indexed="81"/>
            <rFont val="Tahoma"/>
            <family val="2"/>
          </rPr>
          <t xml:space="preserve"> CONVEYING fields are filled in on the CONSTRUCTION tab and then re-run PCA.</t>
        </r>
      </text>
    </comment>
    <comment ref="H96" authorId="1" shapeId="0" xr:uid="{88669098-7A4F-499C-A984-B4FC54263B50}">
      <text>
        <r>
          <rPr>
            <b/>
            <sz val="9"/>
            <color indexed="81"/>
            <rFont val="Tahoma"/>
            <family val="2"/>
          </rPr>
          <t>Mechanical Components are not working requiring repair</t>
        </r>
      </text>
    </comment>
    <comment ref="J96" authorId="0" shapeId="0" xr:uid="{00000000-0006-0000-0200-0000D4000000}">
      <text>
        <r>
          <rPr>
            <b/>
            <sz val="9"/>
            <color indexed="81"/>
            <rFont val="Tahoma"/>
            <family val="2"/>
          </rPr>
          <t>Electrical components are not working.</t>
        </r>
      </text>
    </comment>
    <comment ref="L96" authorId="1" shapeId="0" xr:uid="{AC881024-99AC-423E-9A19-159F92E1C9E2}">
      <text>
        <r>
          <rPr>
            <b/>
            <sz val="9"/>
            <color indexed="81"/>
            <rFont val="Tahoma"/>
            <family val="2"/>
          </rPr>
          <t>Major mechanical or electrical systems requires repair</t>
        </r>
      </text>
    </comment>
    <comment ref="N96" authorId="0" shapeId="0" xr:uid="{00000000-0006-0000-0200-0000D5000000}">
      <text>
        <r>
          <rPr>
            <b/>
            <sz val="9"/>
            <color indexed="81"/>
            <rFont val="Tahoma"/>
            <family val="2"/>
          </rPr>
          <t>Mechanical and electrical components have deteriorated requiring the replacement of the system.</t>
        </r>
      </text>
    </comment>
    <comment ref="P96" authorId="0" shapeId="0" xr:uid="{00000000-0006-0000-0200-0000D1000000}">
      <text>
        <r>
          <rPr>
            <b/>
            <sz val="9"/>
            <color indexed="81"/>
            <rFont val="Tahoma"/>
            <family val="2"/>
          </rPr>
          <t>Mechanical and electrical components have deteriorated requiring the replacement of the system</t>
        </r>
      </text>
    </comment>
    <comment ref="C98" authorId="0" shapeId="0" xr:uid="{00000000-0006-0000-0200-0000D7000000}">
      <text>
        <r>
          <rPr>
            <b/>
            <sz val="9"/>
            <color indexed="81"/>
            <rFont val="Tahoma"/>
            <family val="2"/>
          </rPr>
          <t>All fixtures (toilets, urinals, sinks, showers, etc.) to be lumped together here.</t>
        </r>
      </text>
    </comment>
    <comment ref="D98" authorId="1" shapeId="0" xr:uid="{85D76E67-FF01-45FA-84EB-3974FFE25A75}">
      <text>
        <r>
          <rPr>
            <b/>
            <sz val="9"/>
            <color indexed="81"/>
            <rFont val="Tahoma"/>
            <family val="2"/>
          </rPr>
          <t>Enter number of units. If units fall in multiple categories use a range and make good notes.</t>
        </r>
        <r>
          <rPr>
            <sz val="9"/>
            <color indexed="81"/>
            <rFont val="Tahoma"/>
            <family val="2"/>
          </rPr>
          <t xml:space="preserve">
</t>
        </r>
      </text>
    </comment>
    <comment ref="E98" authorId="1" shapeId="0" xr:uid="{C1952FCF-7B84-4E36-AE6A-49CC5219452C}">
      <text>
        <r>
          <rPr>
            <b/>
            <sz val="9"/>
            <color indexed="81"/>
            <rFont val="Tahoma"/>
            <family val="2"/>
          </rPr>
          <t xml:space="preserve">Inset Number of Units
</t>
        </r>
      </text>
    </comment>
    <comment ref="H98" authorId="1" shapeId="0" xr:uid="{4756F4D2-807A-4C86-82A1-FF9152FCBF22}">
      <text>
        <r>
          <rPr>
            <b/>
            <sz val="9"/>
            <color indexed="81"/>
            <rFont val="Tahoma"/>
            <family val="2"/>
          </rPr>
          <t>Fixture Components are functional but broken or worn requiring repair or replacement.</t>
        </r>
      </text>
    </comment>
    <comment ref="J98" authorId="0" shapeId="0" xr:uid="{00000000-0006-0000-0200-0000D8000000}">
      <text>
        <r>
          <rPr>
            <b/>
            <sz val="9"/>
            <color indexed="81"/>
            <rFont val="Tahoma"/>
            <family val="2"/>
          </rPr>
          <t>Fixture components (Flush valves or faucets) are non-functional and require repair.</t>
        </r>
      </text>
    </comment>
    <comment ref="L98" authorId="1" shapeId="0" xr:uid="{ECC251EF-61C8-4495-AB9E-93884C6B4E47}">
      <text>
        <r>
          <rPr>
            <b/>
            <sz val="9"/>
            <color indexed="81"/>
            <rFont val="Tahoma"/>
            <family val="2"/>
          </rPr>
          <t>A minor fixture (Faucet, spigot, maintenance tub, shower fixture) itself is broken or is not compliant with water efficiency standards.</t>
        </r>
      </text>
    </comment>
    <comment ref="N98" authorId="0" shapeId="0" xr:uid="{00000000-0006-0000-0200-0000D9000000}">
      <text>
        <r>
          <rPr>
            <b/>
            <sz val="9"/>
            <color indexed="81"/>
            <rFont val="Tahoma"/>
            <family val="2"/>
          </rPr>
          <t>A major fixture (sink, urinal, toilet, drinking fountain) itself is broken or is not compliant with water efficiency standards.</t>
        </r>
      </text>
    </comment>
    <comment ref="P98" authorId="0" shapeId="0" xr:uid="{00000000-0006-0000-0200-0000D6000000}">
      <text>
        <r>
          <rPr>
            <b/>
            <sz val="9"/>
            <color indexed="81"/>
            <rFont val="Tahoma"/>
            <family val="2"/>
          </rPr>
          <t>The fixture itself is broken or is not compliant with water efficiency standards</t>
        </r>
      </text>
    </comment>
    <comment ref="H99" authorId="0" shapeId="0" xr:uid="{00000000-0006-0000-0200-0000DB000000}">
      <text>
        <r>
          <rPr>
            <b/>
            <sz val="9"/>
            <color indexed="81"/>
            <rFont val="Tahoma"/>
            <family val="2"/>
          </rPr>
          <t xml:space="preserve">The vale stems, pressure gauges, and gate valves no longer function.
</t>
        </r>
      </text>
    </comment>
    <comment ref="J99" authorId="0" shapeId="0" xr:uid="{00000000-0006-0000-0200-0000DC000000}">
      <text>
        <r>
          <rPr>
            <b/>
            <sz val="9"/>
            <color indexed="81"/>
            <rFont val="Tahoma"/>
            <family val="2"/>
          </rPr>
          <t>The insulation on the piping is in disrepair, loose, or missing.</t>
        </r>
      </text>
    </comment>
    <comment ref="L99" authorId="1" shapeId="0" xr:uid="{DC8AE3B5-8A67-40FC-A700-F1F53CBC945D}">
      <text>
        <r>
          <rPr>
            <b/>
            <sz val="9"/>
            <color indexed="81"/>
            <rFont val="Tahoma"/>
            <family val="2"/>
          </rPr>
          <t>Section of piping are damaged and require replacement</t>
        </r>
      </text>
    </comment>
    <comment ref="N99" authorId="0" shapeId="0" xr:uid="{00000000-0006-0000-0200-0000DD000000}">
      <text>
        <r>
          <rPr>
            <b/>
            <sz val="9"/>
            <color indexed="81"/>
            <rFont val="Tahoma"/>
            <family val="2"/>
          </rPr>
          <t>The risers are worn, damaged, or clogged beyond repair.  Replacement includes the piping, insulation, and valves.</t>
        </r>
      </text>
    </comment>
    <comment ref="P99" authorId="0" shapeId="0" xr:uid="{00000000-0006-0000-0200-0000DA000000}">
      <text>
        <r>
          <rPr>
            <b/>
            <sz val="9"/>
            <color indexed="81"/>
            <rFont val="Tahoma"/>
            <family val="2"/>
          </rPr>
          <t>The risers are worn, damaged, or clogged beyond repair.  Replacement includes the piping, insulation, and valves</t>
        </r>
      </text>
    </comment>
    <comment ref="H100" authorId="0" shapeId="0" xr:uid="{00000000-0006-0000-0200-0000DF000000}">
      <text>
        <r>
          <rPr>
            <b/>
            <sz val="9"/>
            <color indexed="81"/>
            <rFont val="Tahoma"/>
            <family val="2"/>
          </rPr>
          <t>In some areas, the floor or wall, clean outs or  floor drains require repair</t>
        </r>
      </text>
    </comment>
    <comment ref="J100" authorId="1" shapeId="0" xr:uid="{365EDE35-2000-4B96-A2E9-C35460CFC178}">
      <text>
        <r>
          <rPr>
            <b/>
            <sz val="9"/>
            <color indexed="81"/>
            <rFont val="Tahoma"/>
            <family val="2"/>
          </rPr>
          <t>In some areas, there are back ups requiring the replacement of the broken floor or wall, clean outs, routing and cleaning the problem areas, and snaking floor drains.</t>
        </r>
      </text>
    </comment>
    <comment ref="L100" authorId="1" shapeId="0" xr:uid="{1E8EC8DA-7165-4B3E-894D-610B1DDB40B2}">
      <text>
        <r>
          <rPr>
            <b/>
            <sz val="9"/>
            <color indexed="81"/>
            <rFont val="Tahoma"/>
            <family val="2"/>
          </rPr>
          <t>Sections of piping are damaged and require replacement</t>
        </r>
      </text>
    </comment>
    <comment ref="N100" authorId="0" shapeId="0" xr:uid="{00000000-0006-0000-0200-0000E0000000}">
      <text>
        <r>
          <rPr>
            <b/>
            <sz val="9"/>
            <color indexed="81"/>
            <rFont val="Tahoma"/>
            <family val="2"/>
          </rPr>
          <t>The runs and risers are deteriorated, displaced, or have systemic leaks and requires full replacement.</t>
        </r>
      </text>
    </comment>
    <comment ref="P100" authorId="0" shapeId="0" xr:uid="{00000000-0006-0000-0200-0000DE000000}">
      <text>
        <r>
          <rPr>
            <b/>
            <sz val="9"/>
            <color indexed="81"/>
            <rFont val="Tahoma"/>
            <family val="2"/>
          </rPr>
          <t>The runs and risers are deteriorated, displaced, or have systemic leaks and requires full replacement</t>
        </r>
      </text>
    </comment>
    <comment ref="C101" authorId="0" shapeId="0" xr:uid="{00000000-0006-0000-0200-0000E2000000}">
      <text>
        <r>
          <rPr>
            <b/>
            <sz val="9"/>
            <color indexed="81"/>
            <rFont val="Tahoma"/>
            <family val="2"/>
          </rPr>
          <t>This is for the presence of interior rain drains. Excludes external downspouts. Based on gross square footage.</t>
        </r>
      </text>
    </comment>
    <comment ref="H101" authorId="1" shapeId="0" xr:uid="{310BDFBF-5518-4BF3-92C8-916AAC69249F}">
      <text>
        <r>
          <rPr>
            <b/>
            <sz val="9"/>
            <color indexed="81"/>
            <rFont val="Tahoma"/>
            <family val="2"/>
          </rPr>
          <t>Weather seal is worn requires replacement</t>
        </r>
        <r>
          <rPr>
            <sz val="9"/>
            <color indexed="81"/>
            <rFont val="Tahoma"/>
            <family val="2"/>
          </rPr>
          <t xml:space="preserve">
</t>
        </r>
      </text>
    </comment>
    <comment ref="J101" authorId="0" shapeId="0" xr:uid="{00000000-0006-0000-0200-0000E3000000}">
      <text>
        <r>
          <rPr>
            <b/>
            <sz val="9"/>
            <color indexed="81"/>
            <rFont val="Tahoma"/>
            <family val="2"/>
          </rPr>
          <t>The rain drain or overflow is damaged and needs replacement.</t>
        </r>
      </text>
    </comment>
    <comment ref="L101" authorId="1" shapeId="0" xr:uid="{D857038B-334A-4B82-964E-D8D4C373E961}">
      <text>
        <r>
          <rPr>
            <b/>
            <sz val="9"/>
            <color indexed="81"/>
            <rFont val="Tahoma"/>
            <family val="2"/>
          </rPr>
          <t>The rain drain housing is showing signs of deterioration and movement within the roofing structure requiring major repair</t>
        </r>
        <r>
          <rPr>
            <sz val="9"/>
            <color indexed="81"/>
            <rFont val="Tahoma"/>
            <family val="2"/>
          </rPr>
          <t xml:space="preserve">
</t>
        </r>
      </text>
    </comment>
    <comment ref="N101" authorId="0" shapeId="0" xr:uid="{00000000-0006-0000-0200-0000E4000000}">
      <text>
        <r>
          <rPr>
            <b/>
            <sz val="9"/>
            <color indexed="81"/>
            <rFont val="Tahoma"/>
            <family val="2"/>
          </rPr>
          <t>The integrity of the piping is compromised and is leaking inside the walls.</t>
        </r>
      </text>
    </comment>
    <comment ref="P101" authorId="0" shapeId="0" xr:uid="{00000000-0006-0000-0200-0000E1000000}">
      <text>
        <r>
          <rPr>
            <b/>
            <sz val="9"/>
            <color indexed="81"/>
            <rFont val="Tahoma"/>
            <family val="2"/>
          </rPr>
          <t>The integrity of the piping is compromised and is leaking inside the walls</t>
        </r>
      </text>
    </comment>
    <comment ref="C104" authorId="0" shapeId="0" xr:uid="{00000000-0006-0000-0200-0000E6000000}">
      <text>
        <r>
          <rPr>
            <b/>
            <sz val="9"/>
            <color indexed="81"/>
            <rFont val="Tahoma"/>
            <family val="2"/>
          </rPr>
          <t>This assumes gas piping.</t>
        </r>
      </text>
    </comment>
    <comment ref="H104" authorId="0" shapeId="0" xr:uid="{00000000-0006-0000-0200-0000E7000000}">
      <text>
        <r>
          <rPr>
            <b/>
            <sz val="9"/>
            <color indexed="81"/>
            <rFont val="Tahoma"/>
            <family val="2"/>
          </rPr>
          <t>The valve stems, riser gate valves, and temperature probes need to be maintenance</t>
        </r>
      </text>
    </comment>
    <comment ref="J104" authorId="1" shapeId="0" xr:uid="{7BFCBBF7-47EF-498E-8D66-892E7D3DF0D5}">
      <text>
        <r>
          <rPr>
            <b/>
            <sz val="9"/>
            <color indexed="81"/>
            <rFont val="Tahoma"/>
            <family val="2"/>
          </rPr>
          <t>The valve stems, riser gate valves, and temperature probes need to be repaired or replaced.</t>
        </r>
      </text>
    </comment>
    <comment ref="L104" authorId="1" shapeId="0" xr:uid="{EC8367B6-BD7F-4744-8C25-8085E45F1831}">
      <text>
        <r>
          <rPr>
            <b/>
            <sz val="9"/>
            <color indexed="81"/>
            <rFont val="Tahoma"/>
            <family val="2"/>
          </rPr>
          <t>Sections of piping are damaged and require replacement</t>
        </r>
        <r>
          <rPr>
            <sz val="9"/>
            <color indexed="81"/>
            <rFont val="Tahoma"/>
            <family val="2"/>
          </rPr>
          <t xml:space="preserve">
</t>
        </r>
      </text>
    </comment>
    <comment ref="N104" authorId="0" shapeId="0" xr:uid="{00000000-0006-0000-0200-0000E8000000}">
      <text>
        <r>
          <rPr>
            <b/>
            <sz val="9"/>
            <color indexed="81"/>
            <rFont val="Tahoma"/>
            <family val="2"/>
          </rPr>
          <t>The risers are worn, damaged, or clogged beyond repair.  Replacement includes the piping, insulation, and valves.</t>
        </r>
      </text>
    </comment>
    <comment ref="P104" authorId="0" shapeId="0" xr:uid="{00000000-0006-0000-0200-0000E5000000}">
      <text>
        <r>
          <rPr>
            <b/>
            <sz val="9"/>
            <color indexed="81"/>
            <rFont val="Tahoma"/>
            <family val="2"/>
          </rPr>
          <t>The risers are worn, damaged, or clogged beyond repair.  Replacement includes the piping, insulation, and valves</t>
        </r>
      </text>
    </comment>
    <comment ref="E105" authorId="3" shapeId="0" xr:uid="{8CBEF398-0ED1-40C4-A964-A9F551AC4B59}">
      <text>
        <r>
          <rPr>
            <b/>
            <sz val="9"/>
            <color indexed="81"/>
            <rFont val="Tahoma"/>
            <family val="2"/>
          </rPr>
          <t>Tiffany Hammond:</t>
        </r>
        <r>
          <rPr>
            <sz val="9"/>
            <color indexed="81"/>
            <rFont val="Tahoma"/>
            <family val="2"/>
          </rPr>
          <t xml:space="preserve">
App does not calculate this value; must enter manually.</t>
        </r>
      </text>
    </comment>
    <comment ref="H105" authorId="0" shapeId="0" xr:uid="{00000000-0006-0000-0200-0000EA000000}">
      <text>
        <r>
          <rPr>
            <b/>
            <sz val="9"/>
            <color indexed="81"/>
            <rFont val="Tahoma"/>
            <family val="2"/>
          </rPr>
          <t>The burner is inefficient and requires refurbishment.</t>
        </r>
      </text>
    </comment>
    <comment ref="J105" authorId="0" shapeId="0" xr:uid="{00000000-0006-0000-0200-0000EB000000}">
      <text>
        <r>
          <rPr>
            <b/>
            <sz val="9"/>
            <color indexed="81"/>
            <rFont val="Tahoma"/>
            <family val="2"/>
          </rPr>
          <t xml:space="preserve">One major component needs to be replaced.
</t>
        </r>
      </text>
    </comment>
    <comment ref="L105" authorId="0" shapeId="0" xr:uid="{00000000-0006-0000-0200-0000EC000000}">
      <text>
        <r>
          <rPr>
            <b/>
            <sz val="9"/>
            <color indexed="81"/>
            <rFont val="Tahoma"/>
            <family val="2"/>
          </rPr>
          <t>More than one major component needs to be replaced.</t>
        </r>
      </text>
    </comment>
    <comment ref="N105" authorId="0" shapeId="0" xr:uid="{00000000-0006-0000-0200-0000ED000000}">
      <text>
        <r>
          <rPr>
            <b/>
            <sz val="9"/>
            <color indexed="81"/>
            <rFont val="Tahoma"/>
            <family val="2"/>
          </rPr>
          <t>The system is in failure.</t>
        </r>
      </text>
    </comment>
    <comment ref="P105" authorId="0" shapeId="0" xr:uid="{00000000-0006-0000-0200-0000E9000000}">
      <text>
        <r>
          <rPr>
            <b/>
            <sz val="9"/>
            <color indexed="81"/>
            <rFont val="Tahoma"/>
            <family val="2"/>
          </rPr>
          <t>The system is in failure</t>
        </r>
      </text>
    </comment>
    <comment ref="E106" authorId="3" shapeId="0" xr:uid="{7EAA3449-A068-40B9-B085-86C11417A946}">
      <text>
        <r>
          <rPr>
            <b/>
            <sz val="9"/>
            <color indexed="81"/>
            <rFont val="Tahoma"/>
            <family val="2"/>
          </rPr>
          <t>Tiffany Hammond:</t>
        </r>
        <r>
          <rPr>
            <sz val="9"/>
            <color indexed="81"/>
            <rFont val="Tahoma"/>
            <family val="2"/>
          </rPr>
          <t xml:space="preserve">
App does not calculate this value; must enter manually.</t>
        </r>
      </text>
    </comment>
    <comment ref="H106" authorId="1" shapeId="0" xr:uid="{25D50316-3C86-4DED-99F5-922A29C494B9}">
      <text>
        <r>
          <rPr>
            <b/>
            <sz val="9"/>
            <color indexed="81"/>
            <rFont val="Tahoma"/>
            <family val="2"/>
          </rPr>
          <t>A small number of minor parts need to be repaired or replaced.</t>
        </r>
      </text>
    </comment>
    <comment ref="J106" authorId="1" shapeId="0" xr:uid="{5590088D-977E-4DC1-8B54-3719548FAA84}">
      <text>
        <r>
          <rPr>
            <b/>
            <sz val="9"/>
            <color indexed="81"/>
            <rFont val="Tahoma"/>
            <family val="2"/>
          </rPr>
          <t>One major component needs to be replaced</t>
        </r>
      </text>
    </comment>
    <comment ref="L106" authorId="0" shapeId="0" xr:uid="{00000000-0006-0000-0200-0000EF000000}">
      <text>
        <r>
          <rPr>
            <b/>
            <sz val="9"/>
            <color indexed="81"/>
            <rFont val="Tahoma"/>
            <family val="2"/>
          </rPr>
          <t>Some of the distribution fans and coils are dysfunctional.</t>
        </r>
      </text>
    </comment>
    <comment ref="N106" authorId="0" shapeId="0" xr:uid="{00000000-0006-0000-0200-0000F0000000}">
      <text>
        <r>
          <rPr>
            <b/>
            <sz val="9"/>
            <color indexed="81"/>
            <rFont val="Tahoma"/>
            <family val="2"/>
          </rPr>
          <t>The majority of the distribution fans or coils are dysfunctional and the primary unit is in a state of disrepair.</t>
        </r>
      </text>
    </comment>
    <comment ref="P106" authorId="0" shapeId="0" xr:uid="{00000000-0006-0000-0200-0000EE000000}">
      <text>
        <r>
          <rPr>
            <b/>
            <sz val="9"/>
            <color indexed="81"/>
            <rFont val="Tahoma"/>
            <family val="2"/>
          </rPr>
          <t>The majority of the distribution fans or coils are dysfunctional and the primary unit is in a state of disrepair</t>
        </r>
      </text>
    </comment>
    <comment ref="E107" authorId="3" shapeId="0" xr:uid="{0833417E-B042-4A85-AE45-5C0A5BD39048}">
      <text>
        <r>
          <rPr>
            <b/>
            <sz val="9"/>
            <color indexed="81"/>
            <rFont val="Tahoma"/>
            <family val="2"/>
          </rPr>
          <t>Tiffany Hammond:</t>
        </r>
        <r>
          <rPr>
            <sz val="9"/>
            <color indexed="81"/>
            <rFont val="Tahoma"/>
            <family val="2"/>
          </rPr>
          <t xml:space="preserve">
App does not calculate this value; must enter manually.</t>
        </r>
      </text>
    </comment>
    <comment ref="H107" authorId="1" shapeId="0" xr:uid="{D66A972A-F16E-4EB9-AF14-06AFA3924F34}">
      <text>
        <r>
          <rPr>
            <b/>
            <sz val="9"/>
            <color indexed="81"/>
            <rFont val="Tahoma"/>
            <family val="2"/>
          </rPr>
          <t>A small number of minor parts need to be repaired or replaced.</t>
        </r>
      </text>
    </comment>
    <comment ref="J107" authorId="0" shapeId="0" xr:uid="{00000000-0006-0000-0200-0000F2000000}">
      <text>
        <r>
          <rPr>
            <b/>
            <sz val="9"/>
            <color indexed="81"/>
            <rFont val="Tahoma"/>
            <family val="2"/>
          </rPr>
          <t>One major component needs to be replaced</t>
        </r>
      </text>
    </comment>
    <comment ref="L107" authorId="0" shapeId="0" xr:uid="{00000000-0006-0000-0200-0000F3000000}">
      <text>
        <r>
          <rPr>
            <b/>
            <sz val="9"/>
            <color indexed="81"/>
            <rFont val="Tahoma"/>
            <family val="2"/>
          </rPr>
          <t>The burner, combustion chamber, or fan are faulty and require replacement.</t>
        </r>
      </text>
    </comment>
    <comment ref="N107" authorId="0" shapeId="0" xr:uid="{00000000-0006-0000-0200-0000F4000000}">
      <text>
        <r>
          <rPr>
            <b/>
            <sz val="9"/>
            <color indexed="81"/>
            <rFont val="Tahoma"/>
            <family val="2"/>
          </rPr>
          <t xml:space="preserve">The entire furnace requires replacement.
</t>
        </r>
      </text>
    </comment>
    <comment ref="P107" authorId="0" shapeId="0" xr:uid="{00000000-0006-0000-0200-0000F1000000}">
      <text>
        <r>
          <rPr>
            <b/>
            <sz val="9"/>
            <color indexed="81"/>
            <rFont val="Tahoma"/>
            <family val="2"/>
          </rPr>
          <t xml:space="preserve">The entire furnace requires replacement
</t>
        </r>
      </text>
    </comment>
    <comment ref="E108" authorId="3" shapeId="0" xr:uid="{B7A91449-4F7A-499B-8F65-F0156247DAB8}">
      <text>
        <r>
          <rPr>
            <b/>
            <sz val="9"/>
            <color indexed="81"/>
            <rFont val="Tahoma"/>
            <family val="2"/>
          </rPr>
          <t>Tiffany Hammond:</t>
        </r>
        <r>
          <rPr>
            <sz val="9"/>
            <color indexed="81"/>
            <rFont val="Tahoma"/>
            <family val="2"/>
          </rPr>
          <t xml:space="preserve">
App does not calculate this value; must enter manually.</t>
        </r>
      </text>
    </comment>
    <comment ref="H108" authorId="1" shapeId="0" xr:uid="{09FFB2A6-E3CE-4D31-9FB5-C487338A08A9}">
      <text>
        <r>
          <rPr>
            <b/>
            <sz val="9"/>
            <color indexed="81"/>
            <rFont val="Tahoma"/>
            <family val="2"/>
          </rPr>
          <t>A small number of minor parts need to be repaired or replaced.</t>
        </r>
      </text>
    </comment>
    <comment ref="J108" authorId="0" shapeId="0" xr:uid="{00000000-0006-0000-0200-0000F6000000}">
      <text>
        <r>
          <rPr>
            <b/>
            <sz val="9"/>
            <color indexed="81"/>
            <rFont val="Tahoma"/>
            <family val="2"/>
          </rPr>
          <t>One major component needs to be replaced</t>
        </r>
      </text>
    </comment>
    <comment ref="L108" authorId="0" shapeId="0" xr:uid="{00000000-0006-0000-0200-0000F7000000}">
      <text>
        <r>
          <rPr>
            <b/>
            <sz val="9"/>
            <color indexed="81"/>
            <rFont val="Tahoma"/>
            <family val="2"/>
          </rPr>
          <t>System operating at low efficiency; shell exhibits corrosion.  Retube heat exchanger.</t>
        </r>
      </text>
    </comment>
    <comment ref="N108" authorId="0" shapeId="0" xr:uid="{00000000-0006-0000-0200-0000F8000000}">
      <text>
        <r>
          <rPr>
            <b/>
            <sz val="9"/>
            <color indexed="81"/>
            <rFont val="Tahoma"/>
            <family val="2"/>
          </rPr>
          <t>System operates at low efficiency with corrosion and leaks apparent. Replace system.</t>
        </r>
      </text>
    </comment>
    <comment ref="P108" authorId="0" shapeId="0" xr:uid="{00000000-0006-0000-0200-0000F5000000}">
      <text>
        <r>
          <rPr>
            <b/>
            <sz val="9"/>
            <color indexed="81"/>
            <rFont val="Tahoma"/>
            <family val="2"/>
          </rPr>
          <t>System operates at low efficiency with corrosion and leaks apparent.  Replace system</t>
        </r>
      </text>
    </comment>
    <comment ref="E109" authorId="3" shapeId="0" xr:uid="{F768C82A-3045-4254-BE9F-BA5FF6E08766}">
      <text>
        <r>
          <rPr>
            <b/>
            <sz val="9"/>
            <color indexed="81"/>
            <rFont val="Tahoma"/>
            <family val="2"/>
          </rPr>
          <t>Tiffany Hammond:</t>
        </r>
        <r>
          <rPr>
            <sz val="9"/>
            <color indexed="81"/>
            <rFont val="Tahoma"/>
            <family val="2"/>
          </rPr>
          <t xml:space="preserve">
App does not calculate this value; must enter manually.</t>
        </r>
      </text>
    </comment>
    <comment ref="H109" authorId="1" shapeId="0" xr:uid="{D5CDD6A0-256A-4D41-9591-681282BAF4D8}">
      <text>
        <r>
          <rPr>
            <b/>
            <sz val="9"/>
            <color indexed="81"/>
            <rFont val="Tahoma"/>
            <family val="2"/>
          </rPr>
          <t>A small number of minor parts need to be repaired or replaced.</t>
        </r>
      </text>
    </comment>
    <comment ref="J109" authorId="1" shapeId="0" xr:uid="{12A85EEE-9840-4F22-A098-A8AE8050D610}">
      <text>
        <r>
          <rPr>
            <b/>
            <sz val="9"/>
            <color indexed="81"/>
            <rFont val="Tahoma"/>
            <family val="2"/>
          </rPr>
          <t>One major component needs to be replaced.</t>
        </r>
      </text>
    </comment>
    <comment ref="L109" authorId="0" shapeId="0" xr:uid="{00000000-0006-0000-0200-0000FA000000}">
      <text>
        <r>
          <rPr>
            <b/>
            <sz val="9"/>
            <color indexed="81"/>
            <rFont val="Tahoma"/>
            <family val="2"/>
          </rPr>
          <t>Some of the distribution fans and coils are dysfunctional.</t>
        </r>
      </text>
    </comment>
    <comment ref="N109" authorId="0" shapeId="0" xr:uid="{00000000-0006-0000-0200-0000FB000000}">
      <text>
        <r>
          <rPr>
            <b/>
            <sz val="9"/>
            <color indexed="81"/>
            <rFont val="Tahoma"/>
            <family val="2"/>
          </rPr>
          <t>The majority of the distribution fans or coils are dysfunctional and the primary unit is in a state of disrepair.</t>
        </r>
      </text>
    </comment>
    <comment ref="P109" authorId="0" shapeId="0" xr:uid="{00000000-0006-0000-0200-0000F9000000}">
      <text>
        <r>
          <rPr>
            <b/>
            <sz val="9"/>
            <color indexed="81"/>
            <rFont val="Tahoma"/>
            <family val="2"/>
          </rPr>
          <t>The majority of the distribution fans or coils are dysfunctional and the primary unit is in a state of disrepair</t>
        </r>
      </text>
    </comment>
    <comment ref="E110" authorId="3" shapeId="0" xr:uid="{C9EE3633-9E7C-450F-9250-6694EB057F98}">
      <text>
        <r>
          <rPr>
            <b/>
            <sz val="9"/>
            <color indexed="81"/>
            <rFont val="Tahoma"/>
            <family val="2"/>
          </rPr>
          <t>Tiffany Hammond:</t>
        </r>
        <r>
          <rPr>
            <sz val="9"/>
            <color indexed="81"/>
            <rFont val="Tahoma"/>
            <family val="2"/>
          </rPr>
          <t xml:space="preserve">
App does not calculate this value; must enter manually.</t>
        </r>
      </text>
    </comment>
    <comment ref="H110" authorId="1" shapeId="0" xr:uid="{0CA0695F-C058-4B81-80D8-CE9B62429CA6}">
      <text>
        <r>
          <rPr>
            <b/>
            <sz val="9"/>
            <color indexed="81"/>
            <rFont val="Tahoma"/>
            <family val="2"/>
          </rPr>
          <t>A small number of minor parts need to be repaired or replaced.</t>
        </r>
      </text>
    </comment>
    <comment ref="J110" authorId="1" shapeId="0" xr:uid="{59F6782C-9937-4B08-8EEC-3314A38424E6}">
      <text>
        <r>
          <rPr>
            <b/>
            <sz val="9"/>
            <color indexed="81"/>
            <rFont val="Tahoma"/>
            <family val="2"/>
          </rPr>
          <t>One major component needs to be replaced.</t>
        </r>
      </text>
    </comment>
    <comment ref="L110" authorId="1" shapeId="0" xr:uid="{364F7344-0734-4272-A368-D78C7DCF61DB}">
      <text>
        <r>
          <rPr>
            <b/>
            <sz val="9"/>
            <color indexed="81"/>
            <rFont val="Tahoma"/>
            <family val="2"/>
          </rPr>
          <t>Multiple electrical or mechanical components require replacement</t>
        </r>
        <r>
          <rPr>
            <sz val="9"/>
            <color indexed="81"/>
            <rFont val="Tahoma"/>
            <family val="2"/>
          </rPr>
          <t xml:space="preserve">
</t>
        </r>
      </text>
    </comment>
    <comment ref="N110" authorId="0" shapeId="0" xr:uid="{00000000-0006-0000-0200-0000FD000000}">
      <text>
        <r>
          <rPr>
            <b/>
            <sz val="9"/>
            <color indexed="81"/>
            <rFont val="Tahoma"/>
            <family val="2"/>
          </rPr>
          <t>The chiller is beyond economic repair.</t>
        </r>
      </text>
    </comment>
    <comment ref="P110" authorId="0" shapeId="0" xr:uid="{00000000-0006-0000-0200-0000FC000000}">
      <text>
        <r>
          <rPr>
            <b/>
            <sz val="9"/>
            <color indexed="81"/>
            <rFont val="Tahoma"/>
            <family val="2"/>
          </rPr>
          <t>The chiller is beyond economic repair</t>
        </r>
      </text>
    </comment>
    <comment ref="E111" authorId="3" shapeId="0" xr:uid="{0904418B-2E68-48F3-A865-AFDE2BB9E869}">
      <text>
        <r>
          <rPr>
            <b/>
            <sz val="9"/>
            <color indexed="81"/>
            <rFont val="Tahoma"/>
            <family val="2"/>
          </rPr>
          <t>Tiffany Hammond:</t>
        </r>
        <r>
          <rPr>
            <sz val="9"/>
            <color indexed="81"/>
            <rFont val="Tahoma"/>
            <family val="2"/>
          </rPr>
          <t xml:space="preserve">
App does not calculate this value; must enter manually.</t>
        </r>
      </text>
    </comment>
    <comment ref="H111" authorId="1" shapeId="0" xr:uid="{CA2FB04E-143E-4985-AE16-EFAC94F3CE02}">
      <text>
        <r>
          <rPr>
            <b/>
            <sz val="9"/>
            <color indexed="81"/>
            <rFont val="Tahoma"/>
            <family val="2"/>
          </rPr>
          <t>Seams require retaping for repair</t>
        </r>
        <r>
          <rPr>
            <sz val="9"/>
            <color indexed="81"/>
            <rFont val="Tahoma"/>
            <family val="2"/>
          </rPr>
          <t xml:space="preserve">
</t>
        </r>
      </text>
    </comment>
    <comment ref="J111" authorId="0" shapeId="0" xr:uid="{00000000-0006-0000-0200-0000FF000000}">
      <text>
        <r>
          <rPr>
            <b/>
            <sz val="9"/>
            <color indexed="81"/>
            <rFont val="Tahoma"/>
            <family val="2"/>
          </rPr>
          <t>Dampers in the system are inoperative.</t>
        </r>
      </text>
    </comment>
    <comment ref="L111" authorId="0" shapeId="0" xr:uid="{00000000-0006-0000-0200-000000010000}">
      <text>
        <r>
          <rPr>
            <b/>
            <sz val="9"/>
            <color indexed="81"/>
            <rFont val="Tahoma"/>
            <family val="2"/>
          </rPr>
          <t>The insulation is damaged or missing.</t>
        </r>
      </text>
    </comment>
    <comment ref="N111" authorId="0" shapeId="0" xr:uid="{00000000-0006-0000-0200-000001010000}">
      <text>
        <r>
          <rPr>
            <b/>
            <sz val="9"/>
            <color indexed="81"/>
            <rFont val="Tahoma"/>
            <family val="2"/>
          </rPr>
          <t>The ductwork is damaged or inadequately designed and requires replacement.</t>
        </r>
      </text>
    </comment>
    <comment ref="P111" authorId="0" shapeId="0" xr:uid="{00000000-0006-0000-0200-0000FE000000}">
      <text>
        <r>
          <rPr>
            <b/>
            <sz val="9"/>
            <color indexed="81"/>
            <rFont val="Tahoma"/>
            <family val="2"/>
          </rPr>
          <t>The ductwork is damaged or inadequately designed and requires replacement</t>
        </r>
      </text>
    </comment>
    <comment ref="E112" authorId="3" shapeId="0" xr:uid="{AB97D5AB-AE5D-4056-A5FD-A75C58BA9669}">
      <text>
        <r>
          <rPr>
            <b/>
            <sz val="9"/>
            <color indexed="81"/>
            <rFont val="Tahoma"/>
            <family val="2"/>
          </rPr>
          <t>Tiffany Hammond:</t>
        </r>
        <r>
          <rPr>
            <sz val="9"/>
            <color indexed="81"/>
            <rFont val="Tahoma"/>
            <family val="2"/>
          </rPr>
          <t xml:space="preserve">
App does not calculate this value; must enter manually.</t>
        </r>
      </text>
    </comment>
    <comment ref="H112" authorId="0" shapeId="0" xr:uid="{00000000-0006-0000-0200-000003010000}">
      <text>
        <r>
          <rPr>
            <b/>
            <sz val="9"/>
            <color indexed="81"/>
            <rFont val="Tahoma"/>
            <family val="2"/>
          </rPr>
          <t>The valve stems, riser gate valves, and temperature probes need to be repaired or replaced.</t>
        </r>
      </text>
    </comment>
    <comment ref="J112" authorId="0" shapeId="0" xr:uid="{00000000-0006-0000-0200-000004010000}">
      <text>
        <r>
          <rPr>
            <b/>
            <sz val="9"/>
            <color indexed="81"/>
            <rFont val="Tahoma"/>
            <family val="2"/>
          </rPr>
          <t>The insulation on the piping is in disrepair, loose, or missing.</t>
        </r>
      </text>
    </comment>
    <comment ref="L112" authorId="1" shapeId="0" xr:uid="{26740B6D-6DB7-41AF-BDD0-07DE74C0879E}">
      <text>
        <r>
          <rPr>
            <b/>
            <sz val="9"/>
            <color indexed="81"/>
            <rFont val="Tahoma"/>
            <family val="2"/>
          </rPr>
          <t xml:space="preserve">Sections of piping are damaged and require replacement
</t>
        </r>
      </text>
    </comment>
    <comment ref="N112" authorId="0" shapeId="0" xr:uid="{00000000-0006-0000-0200-000005010000}">
      <text>
        <r>
          <rPr>
            <b/>
            <sz val="9"/>
            <color indexed="81"/>
            <rFont val="Tahoma"/>
            <family val="2"/>
          </rPr>
          <t>The risers are worn, damaged, or clogged beyond repair.  Replacement includes the piping, insulation, and valves.</t>
        </r>
      </text>
    </comment>
    <comment ref="P112" authorId="0" shapeId="0" xr:uid="{00000000-0006-0000-0200-000002010000}">
      <text>
        <r>
          <rPr>
            <b/>
            <sz val="9"/>
            <color indexed="81"/>
            <rFont val="Tahoma"/>
            <family val="2"/>
          </rPr>
          <t>The risers are worn, damaged, or clogged beyond repair.  Replacement includes the piping, insulation, and valves</t>
        </r>
      </text>
    </comment>
    <comment ref="E113" authorId="3" shapeId="0" xr:uid="{93A69B3D-A6C8-4922-883F-5B68B68D1744}">
      <text>
        <r>
          <rPr>
            <b/>
            <sz val="9"/>
            <color indexed="81"/>
            <rFont val="Tahoma"/>
            <family val="2"/>
          </rPr>
          <t>Tiffany Hammond:</t>
        </r>
        <r>
          <rPr>
            <sz val="9"/>
            <color indexed="81"/>
            <rFont val="Tahoma"/>
            <family val="2"/>
          </rPr>
          <t xml:space="preserve">
App does not calculate this value; must enter manually.</t>
        </r>
      </text>
    </comment>
    <comment ref="H113" authorId="1" shapeId="0" xr:uid="{4D36E9C1-6CBA-42B6-893E-AA33AE65AA38}">
      <text>
        <r>
          <rPr>
            <b/>
            <sz val="9"/>
            <color indexed="81"/>
            <rFont val="Tahoma"/>
            <family val="2"/>
          </rPr>
          <t>A small number of minor parts need to be repaired or replaced.</t>
        </r>
      </text>
    </comment>
    <comment ref="J113" authorId="1" shapeId="0" xr:uid="{9F12A0C6-1FEA-4390-B31E-80070F807343}">
      <text>
        <r>
          <rPr>
            <b/>
            <sz val="9"/>
            <color indexed="81"/>
            <rFont val="Tahoma"/>
            <family val="2"/>
          </rPr>
          <t>One major component needs to be replaced.</t>
        </r>
        <r>
          <rPr>
            <sz val="9"/>
            <color indexed="81"/>
            <rFont val="Tahoma"/>
            <family val="2"/>
          </rPr>
          <t xml:space="preserve">
</t>
        </r>
      </text>
    </comment>
    <comment ref="L113" authorId="1" shapeId="0" xr:uid="{90C73A23-7762-4895-82EA-76F9B9BD8958}">
      <text>
        <r>
          <rPr>
            <b/>
            <sz val="9"/>
            <color indexed="81"/>
            <rFont val="Tahoma"/>
            <family val="2"/>
          </rPr>
          <t>Multiple electrical or mechanical components require replacement</t>
        </r>
      </text>
    </comment>
    <comment ref="N113" authorId="0" shapeId="0" xr:uid="{00000000-0006-0000-0200-000007010000}">
      <text>
        <r>
          <rPr>
            <b/>
            <sz val="9"/>
            <color indexed="81"/>
            <rFont val="Tahoma"/>
            <family val="2"/>
          </rPr>
          <t>Entire unit is failing to function.</t>
        </r>
      </text>
    </comment>
    <comment ref="P113" authorId="0" shapeId="0" xr:uid="{00000000-0006-0000-0200-000006010000}">
      <text>
        <r>
          <rPr>
            <b/>
            <sz val="9"/>
            <color indexed="81"/>
            <rFont val="Tahoma"/>
            <family val="2"/>
          </rPr>
          <t>Entire unit is failing to function</t>
        </r>
      </text>
    </comment>
    <comment ref="E114" authorId="3" shapeId="0" xr:uid="{07041636-4664-4655-BD69-D16DA0D58AD0}">
      <text>
        <r>
          <rPr>
            <b/>
            <sz val="9"/>
            <color indexed="81"/>
            <rFont val="Tahoma"/>
            <family val="2"/>
          </rPr>
          <t>Tiffany Hammond:</t>
        </r>
        <r>
          <rPr>
            <sz val="9"/>
            <color indexed="81"/>
            <rFont val="Tahoma"/>
            <family val="2"/>
          </rPr>
          <t xml:space="preserve">
App does not calculate this value; must enter manually.</t>
        </r>
      </text>
    </comment>
    <comment ref="H114" authorId="1" shapeId="0" xr:uid="{5F286028-2E4D-4C31-9799-759FF23FFF14}">
      <text>
        <r>
          <rPr>
            <b/>
            <sz val="9"/>
            <color indexed="81"/>
            <rFont val="Tahoma"/>
            <family val="2"/>
          </rPr>
          <t>Minor components are worn or damaged requiring repair or replacement</t>
        </r>
      </text>
    </comment>
    <comment ref="J114" authorId="0" shapeId="0" xr:uid="{00000000-0006-0000-0200-000009010000}">
      <text>
        <r>
          <rPr>
            <b/>
            <sz val="9"/>
            <color indexed="81"/>
            <rFont val="Tahoma"/>
            <family val="2"/>
          </rPr>
          <t>Internal compressor is bad and requires repair.</t>
        </r>
      </text>
    </comment>
    <comment ref="L114" authorId="1" shapeId="0" xr:uid="{08115C26-B73A-4DB8-9B7B-16E131B0CC4F}">
      <text>
        <r>
          <rPr>
            <b/>
            <sz val="9"/>
            <color indexed="81"/>
            <rFont val="Tahoma"/>
            <family val="2"/>
          </rPr>
          <t>Internal compressor is bad and requires replacement.</t>
        </r>
        <r>
          <rPr>
            <sz val="9"/>
            <color indexed="81"/>
            <rFont val="Tahoma"/>
            <family val="2"/>
          </rPr>
          <t xml:space="preserve">
</t>
        </r>
      </text>
    </comment>
    <comment ref="N114" authorId="0" shapeId="0" xr:uid="{00000000-0006-0000-0200-00000A010000}">
      <text>
        <r>
          <rPr>
            <b/>
            <sz val="9"/>
            <color indexed="81"/>
            <rFont val="Tahoma"/>
            <family val="2"/>
          </rPr>
          <t>Entire unit is failing to function.</t>
        </r>
      </text>
    </comment>
    <comment ref="P114" authorId="0" shapeId="0" xr:uid="{00000000-0006-0000-0200-000008010000}">
      <text>
        <r>
          <rPr>
            <b/>
            <sz val="9"/>
            <color indexed="81"/>
            <rFont val="Tahoma"/>
            <family val="2"/>
          </rPr>
          <t>Entire unit is failing to function</t>
        </r>
      </text>
    </comment>
    <comment ref="E115" authorId="3" shapeId="0" xr:uid="{C1017191-5071-40AA-BC18-D2F9F0D4FD36}">
      <text>
        <r>
          <rPr>
            <b/>
            <sz val="9"/>
            <color indexed="81"/>
            <rFont val="Tahoma"/>
            <family val="2"/>
          </rPr>
          <t>Tiffany Hammond:</t>
        </r>
        <r>
          <rPr>
            <sz val="9"/>
            <color indexed="81"/>
            <rFont val="Tahoma"/>
            <family val="2"/>
          </rPr>
          <t xml:space="preserve">
App does not calculate this value; must enter manually.</t>
        </r>
      </text>
    </comment>
    <comment ref="H115" authorId="0" shapeId="0" xr:uid="{00000000-0006-0000-0200-00000C010000}">
      <text>
        <r>
          <rPr>
            <b/>
            <sz val="9"/>
            <color indexed="81"/>
            <rFont val="Tahoma"/>
            <family val="2"/>
          </rPr>
          <t>Minor components are worn or damaged requiring repair or replacement</t>
        </r>
      </text>
    </comment>
    <comment ref="J115" authorId="0" shapeId="0" xr:uid="{2E46ACA9-ACDB-4392-820B-92503EDA490E}">
      <text>
        <r>
          <rPr>
            <b/>
            <sz val="9"/>
            <color indexed="81"/>
            <rFont val="Tahoma"/>
            <family val="2"/>
          </rPr>
          <t>In-room valve is failing and requires replacement.</t>
        </r>
      </text>
    </comment>
    <comment ref="L115" authorId="1" shapeId="0" xr:uid="{2A91D56F-C526-43DF-81C0-0D260FD4684F}">
      <text>
        <r>
          <rPr>
            <b/>
            <sz val="9"/>
            <color indexed="81"/>
            <rFont val="Tahoma"/>
            <family val="2"/>
          </rPr>
          <t>One major component needs to be replaced.</t>
        </r>
      </text>
    </comment>
    <comment ref="N115" authorId="0" shapeId="0" xr:uid="{00000000-0006-0000-0200-00000D010000}">
      <text>
        <r>
          <rPr>
            <b/>
            <sz val="9"/>
            <color indexed="81"/>
            <rFont val="Tahoma"/>
            <family val="2"/>
          </rPr>
          <t>Entire unit is failing to function.</t>
        </r>
      </text>
    </comment>
    <comment ref="P115" authorId="0" shapeId="0" xr:uid="{00000000-0006-0000-0200-00000B010000}">
      <text>
        <r>
          <rPr>
            <b/>
            <sz val="9"/>
            <color indexed="81"/>
            <rFont val="Tahoma"/>
            <family val="2"/>
          </rPr>
          <t>Entire unit is failing to function</t>
        </r>
      </text>
    </comment>
    <comment ref="H116" authorId="1" shapeId="0" xr:uid="{30D0CEE7-762A-4817-84EC-7DE09F053861}">
      <text>
        <r>
          <rPr>
            <b/>
            <sz val="9"/>
            <color indexed="81"/>
            <rFont val="Tahoma"/>
            <family val="2"/>
          </rPr>
          <t>Minor components are worn or damaged requiring repair or replacement</t>
        </r>
      </text>
    </comment>
    <comment ref="J116" authorId="1" shapeId="0" xr:uid="{F031AAEB-7375-4B95-AB84-DB65C9983DD8}">
      <text>
        <r>
          <rPr>
            <b/>
            <sz val="9"/>
            <color indexed="81"/>
            <rFont val="Tahoma"/>
            <family val="2"/>
          </rPr>
          <t>System experiences electrical issues requiring repair</t>
        </r>
        <r>
          <rPr>
            <sz val="9"/>
            <color indexed="81"/>
            <rFont val="Tahoma"/>
            <family val="2"/>
          </rPr>
          <t xml:space="preserve">
</t>
        </r>
      </text>
    </comment>
    <comment ref="L116" authorId="0" shapeId="0" xr:uid="{00000000-0006-0000-0200-00000F010000}">
      <text>
        <r>
          <rPr>
            <b/>
            <sz val="9"/>
            <color indexed="81"/>
            <rFont val="Tahoma"/>
            <family val="2"/>
          </rPr>
          <t>Some of the sensors or valve actuators are dysfunctional.  Replace these sensors or actuators.</t>
        </r>
      </text>
    </comment>
    <comment ref="N116" authorId="0" shapeId="0" xr:uid="{00000000-0006-0000-0200-000010010000}">
      <text>
        <r>
          <rPr>
            <b/>
            <sz val="9"/>
            <color indexed="81"/>
            <rFont val="Tahoma"/>
            <family val="2"/>
          </rPr>
          <t>The majority of sensors or actuators are faulty, and the system software is dysfunctional OR the system is an older/obsolete pneumatic system - replace.</t>
        </r>
      </text>
    </comment>
    <comment ref="P116" authorId="0" shapeId="0" xr:uid="{00000000-0006-0000-0200-00000E010000}">
      <text>
        <r>
          <rPr>
            <b/>
            <sz val="9"/>
            <color indexed="81"/>
            <rFont val="Tahoma"/>
            <family val="2"/>
          </rPr>
          <t>The majority of sensors or actuators are faulty, and the system software is dysfunctional OR the system is an older / obsolete pneumatic system - replace</t>
        </r>
      </text>
    </comment>
    <comment ref="E117" authorId="3" shapeId="0" xr:uid="{364AC49A-F2E4-40C8-B0DE-79304551A078}">
      <text>
        <r>
          <rPr>
            <b/>
            <sz val="9"/>
            <color indexed="81"/>
            <rFont val="Tahoma"/>
            <family val="2"/>
          </rPr>
          <t>Tiffany Hammond:</t>
        </r>
        <r>
          <rPr>
            <sz val="9"/>
            <color indexed="81"/>
            <rFont val="Tahoma"/>
            <family val="2"/>
          </rPr>
          <t xml:space="preserve">
App does not calculate this value; must enter manually.</t>
        </r>
      </text>
    </comment>
    <comment ref="N117" authorId="0" shapeId="0" xr:uid="{00000000-0006-0000-0200-000012010000}">
      <text>
        <r>
          <rPr>
            <b/>
            <sz val="9"/>
            <color indexed="81"/>
            <rFont val="Tahoma"/>
            <family val="2"/>
          </rPr>
          <t>One or more zones require re-balancing.</t>
        </r>
      </text>
    </comment>
    <comment ref="P117" authorId="0" shapeId="0" xr:uid="{00000000-0006-0000-0200-000011010000}">
      <text>
        <r>
          <rPr>
            <b/>
            <sz val="9"/>
            <color indexed="81"/>
            <rFont val="Tahoma"/>
            <family val="2"/>
          </rPr>
          <t>One or more zones require re-balancing</t>
        </r>
      </text>
    </comment>
    <comment ref="H120" authorId="1" shapeId="0" xr:uid="{7E041879-23B4-47DE-94A9-B98FCFFF3A66}">
      <text>
        <r>
          <rPr>
            <b/>
            <sz val="9"/>
            <color indexed="81"/>
            <rFont val="Tahoma"/>
            <family val="2"/>
          </rPr>
          <t>Valves, couplers, connectors showing signs of corrosion requiring repair</t>
        </r>
      </text>
    </comment>
    <comment ref="J120" authorId="0" shapeId="0" xr:uid="{00000000-0006-0000-0200-000014010000}">
      <text>
        <r>
          <rPr>
            <b/>
            <sz val="9"/>
            <color indexed="81"/>
            <rFont val="Tahoma"/>
            <family val="2"/>
          </rPr>
          <t>Sprinkler heads are inoperable or non-compliant and need to be replaced.</t>
        </r>
      </text>
    </comment>
    <comment ref="L120" authorId="1" shapeId="0" xr:uid="{AD62D9AB-CF2A-4BEF-83AF-82EC12AFB2FE}">
      <text>
        <r>
          <rPr>
            <b/>
            <sz val="9"/>
            <color indexed="81"/>
            <rFont val="Tahoma"/>
            <family val="2"/>
          </rPr>
          <t>Sections of piping are damaged requiring repair.</t>
        </r>
      </text>
    </comment>
    <comment ref="N120" authorId="0" shapeId="0" xr:uid="{00000000-0006-0000-0200-000015010000}">
      <text>
        <r>
          <rPr>
            <b/>
            <sz val="9"/>
            <color indexed="81"/>
            <rFont val="Tahoma"/>
            <family val="2"/>
          </rPr>
          <t>The piping has deteriorated or clogged or is non-compliant and needs to be replaced, including heads.</t>
        </r>
      </text>
    </comment>
    <comment ref="P120" authorId="0" shapeId="0" xr:uid="{00000000-0006-0000-0200-000013010000}">
      <text>
        <r>
          <rPr>
            <b/>
            <sz val="9"/>
            <color indexed="81"/>
            <rFont val="Tahoma"/>
            <family val="2"/>
          </rPr>
          <t>The piping has deteriorated or clogged or is non-compliant and needs to be replaced, including heads</t>
        </r>
      </text>
    </comment>
    <comment ref="H121" authorId="1" shapeId="0" xr:uid="{4866DF56-EE7B-4E0D-A222-40A506F4AD2A}">
      <text>
        <r>
          <rPr>
            <b/>
            <sz val="9"/>
            <color indexed="81"/>
            <rFont val="Tahoma"/>
            <family val="2"/>
          </rPr>
          <t>Valves, couplers, connectors showing signs of corrosion requiring repair</t>
        </r>
      </text>
    </comment>
    <comment ref="J121" authorId="0" shapeId="0" xr:uid="{00000000-0006-0000-0200-000017010000}">
      <text>
        <r>
          <rPr>
            <b/>
            <sz val="9"/>
            <color indexed="81"/>
            <rFont val="Tahoma"/>
            <family val="2"/>
          </rPr>
          <t>The Siamese twin connection, tamper flow switches, or flow control valves are inoperable and need to be replaced.</t>
        </r>
      </text>
    </comment>
    <comment ref="L121" authorId="1" shapeId="0" xr:uid="{78A0DD39-EA83-4435-9091-3366AF70843B}">
      <text>
        <r>
          <rPr>
            <b/>
            <sz val="9"/>
            <color indexed="81"/>
            <rFont val="Tahoma"/>
            <family val="2"/>
          </rPr>
          <t>Sections of piping are damaged requiring repair.</t>
        </r>
      </text>
    </comment>
    <comment ref="N121" authorId="0" shapeId="0" xr:uid="{00000000-0006-0000-0200-000018010000}">
      <text>
        <r>
          <rPr>
            <b/>
            <sz val="9"/>
            <color indexed="81"/>
            <rFont val="Tahoma"/>
            <family val="2"/>
          </rPr>
          <t>The fire pump is beyond repair and needs to be replaced.</t>
        </r>
      </text>
    </comment>
    <comment ref="P121" authorId="0" shapeId="0" xr:uid="{00000000-0006-0000-0200-000016010000}">
      <text>
        <r>
          <rPr>
            <b/>
            <sz val="9"/>
            <color indexed="81"/>
            <rFont val="Tahoma"/>
            <family val="2"/>
          </rPr>
          <t xml:space="preserve">The fire pump is beyond repair and needs to be replaced
</t>
        </r>
      </text>
    </comment>
    <comment ref="C122" authorId="0" shapeId="0" xr:uid="{00000000-0006-0000-0200-00001A010000}">
      <text>
        <r>
          <rPr>
            <b/>
            <sz val="9"/>
            <color indexed="81"/>
            <rFont val="Tahoma"/>
            <family val="2"/>
          </rPr>
          <t>Assume chemical extinguishing system.</t>
        </r>
      </text>
    </comment>
    <comment ref="H122" authorId="1" shapeId="0" xr:uid="{CC9248A2-4119-487C-A0DB-913B3E61E3D0}">
      <text>
        <r>
          <rPr>
            <b/>
            <sz val="9"/>
            <color indexed="81"/>
            <rFont val="Tahoma"/>
            <family val="2"/>
          </rPr>
          <t>Components of the system require maintenance or repair</t>
        </r>
      </text>
    </comment>
    <comment ref="J122" authorId="0" shapeId="0" xr:uid="{00000000-0006-0000-0200-00001B010000}">
      <text>
        <r>
          <rPr>
            <b/>
            <sz val="9"/>
            <color indexed="81"/>
            <rFont val="Tahoma"/>
            <family val="2"/>
          </rPr>
          <t>The back-up tank has been discharged or lacks pressure and needs to be replaced.</t>
        </r>
      </text>
    </comment>
    <comment ref="L122" authorId="1" shapeId="0" xr:uid="{B8042B2C-804C-4EC4-A04C-294C7C382396}">
      <text>
        <r>
          <rPr>
            <b/>
            <sz val="9"/>
            <color indexed="81"/>
            <rFont val="Tahoma"/>
            <family val="2"/>
          </rPr>
          <t>The back-up tank has been discharged or lacks pressure and needs to be replaced AND components need to repaired</t>
        </r>
      </text>
    </comment>
    <comment ref="N122" authorId="0" shapeId="0" xr:uid="{00000000-0006-0000-0200-00001C010000}">
      <text>
        <r>
          <rPr>
            <b/>
            <sz val="9"/>
            <color indexed="81"/>
            <rFont val="Tahoma"/>
            <family val="2"/>
          </rPr>
          <t>The system is non-functional or not compliant with the current needs and needs to be replaced.</t>
        </r>
      </text>
    </comment>
    <comment ref="P122" authorId="0" shapeId="0" xr:uid="{00000000-0006-0000-0200-000019010000}">
      <text>
        <r>
          <rPr>
            <b/>
            <sz val="9"/>
            <color indexed="81"/>
            <rFont val="Tahoma"/>
            <family val="2"/>
          </rPr>
          <t>The system is non-functional or not compliant with the current needs and needs to be replaced</t>
        </r>
      </text>
    </comment>
    <comment ref="H125" authorId="1" shapeId="0" xr:uid="{2334B3DD-446B-4AB6-964D-0D87B90461C5}">
      <text>
        <r>
          <rPr>
            <b/>
            <sz val="9"/>
            <color indexed="81"/>
            <rFont val="Tahoma"/>
            <family val="2"/>
          </rPr>
          <t>Sections of wiring have been damaged requiring repair</t>
        </r>
      </text>
    </comment>
    <comment ref="J125" authorId="0" shapeId="0" xr:uid="{00000000-0006-0000-0200-00001E010000}">
      <text>
        <r>
          <rPr>
            <b/>
            <sz val="9"/>
            <color indexed="81"/>
            <rFont val="Tahoma"/>
            <family val="2"/>
          </rPr>
          <t>Wiring has systemic problems or does not meet code and needs to be replaced.</t>
        </r>
      </text>
    </comment>
    <comment ref="L125" authorId="0" shapeId="0" xr:uid="{00000000-0006-0000-0200-00001F010000}">
      <text>
        <r>
          <rPr>
            <b/>
            <sz val="9"/>
            <color indexed="81"/>
            <rFont val="Tahoma"/>
            <family val="2"/>
          </rPr>
          <t>Branch panels are obsolete with replacement breakers difficult to acquire and requires replacement.</t>
        </r>
      </text>
    </comment>
    <comment ref="N125" authorId="0" shapeId="0" xr:uid="{00000000-0006-0000-0200-000020010000}">
      <text>
        <r>
          <rPr>
            <b/>
            <sz val="9"/>
            <color indexed="81"/>
            <rFont val="Tahoma"/>
            <family val="2"/>
          </rPr>
          <t>Main switchgear is obsolete or undersized and requires replacement, including service into building.</t>
        </r>
      </text>
    </comment>
    <comment ref="P125" authorId="0" shapeId="0" xr:uid="{00000000-0006-0000-0200-00001D010000}">
      <text>
        <r>
          <rPr>
            <b/>
            <sz val="9"/>
            <color indexed="81"/>
            <rFont val="Tahoma"/>
            <family val="2"/>
          </rPr>
          <t>Main switchgear is obsolete or undersized and requires replacement, including service into building</t>
        </r>
      </text>
    </comment>
    <comment ref="H126" authorId="1" shapeId="0" xr:uid="{62F785D8-A6E4-4607-B797-B1DC2B59B49D}">
      <text>
        <r>
          <rPr>
            <b/>
            <sz val="9"/>
            <color indexed="81"/>
            <rFont val="Tahoma"/>
            <family val="2"/>
          </rPr>
          <t>Sections of wiring have been damaged requiring repair</t>
        </r>
      </text>
    </comment>
    <comment ref="J126" authorId="1" shapeId="0" xr:uid="{8B034EC8-002C-441F-8A6D-121182FDC908}">
      <text>
        <r>
          <rPr>
            <b/>
            <sz val="9"/>
            <color indexed="81"/>
            <rFont val="Tahoma"/>
            <family val="2"/>
          </rPr>
          <t>Wiring has systemic problems or does not meet code and needs to be replaced.</t>
        </r>
      </text>
    </comment>
    <comment ref="L126" authorId="0" shapeId="0" xr:uid="{00000000-0006-0000-0200-000022010000}">
      <text>
        <r>
          <rPr>
            <b/>
            <sz val="9"/>
            <color indexed="81"/>
            <rFont val="Tahoma"/>
            <family val="2"/>
          </rPr>
          <t>The lighting fixtures are obsolete or non-functional and require replacement.</t>
        </r>
      </text>
    </comment>
    <comment ref="N126" authorId="0" shapeId="0" xr:uid="{00000000-0006-0000-0200-000023010000}">
      <text>
        <r>
          <rPr>
            <b/>
            <sz val="9"/>
            <color indexed="81"/>
            <rFont val="Tahoma"/>
            <family val="2"/>
          </rPr>
          <t>Replacement of fixtures is requiring the replacement of the wiring as well - includes fixtures AND wiring.</t>
        </r>
      </text>
    </comment>
    <comment ref="P126" authorId="0" shapeId="0" xr:uid="{00000000-0006-0000-0200-000021010000}">
      <text>
        <r>
          <rPr>
            <b/>
            <sz val="9"/>
            <color indexed="81"/>
            <rFont val="Tahoma"/>
            <family val="2"/>
          </rPr>
          <t>Replacement of fixtures is requiring the replacement of the wiring as well - includes fixtures AND wiring</t>
        </r>
      </text>
    </comment>
    <comment ref="H127" authorId="1" shapeId="0" xr:uid="{1130DBF8-947D-40D4-BB89-F753AE6BAEFB}">
      <text>
        <r>
          <rPr>
            <b/>
            <sz val="9"/>
            <color indexed="81"/>
            <rFont val="Tahoma"/>
            <family val="2"/>
          </rPr>
          <t>Minor components are worn or damaged requiring repair or replacement</t>
        </r>
      </text>
    </comment>
    <comment ref="J127" authorId="0" shapeId="0" xr:uid="{00000000-0006-0000-0200-000025010000}">
      <text>
        <r>
          <rPr>
            <b/>
            <sz val="9"/>
            <color indexed="81"/>
            <rFont val="Tahoma"/>
            <family val="2"/>
          </rPr>
          <t>There are individual devices that are not functional.</t>
        </r>
      </text>
    </comment>
    <comment ref="L127" authorId="0" shapeId="0" xr:uid="{00000000-0006-0000-0200-000026010000}">
      <text>
        <r>
          <rPr>
            <b/>
            <sz val="9"/>
            <color indexed="81"/>
            <rFont val="Tahoma"/>
            <family val="2"/>
          </rPr>
          <t xml:space="preserve">The master control panel is obsolete or not functional.
</t>
        </r>
      </text>
    </comment>
    <comment ref="N127" authorId="0" shapeId="0" xr:uid="{00000000-0006-0000-0200-000027010000}">
      <text>
        <r>
          <rPr>
            <b/>
            <sz val="9"/>
            <color indexed="81"/>
            <rFont val="Tahoma"/>
            <family val="2"/>
          </rPr>
          <t>The system is obsolete or works intermittently in multiple areas and requires a system replacement.</t>
        </r>
      </text>
    </comment>
    <comment ref="P127" authorId="0" shapeId="0" xr:uid="{00000000-0006-0000-0200-000024010000}">
      <text>
        <r>
          <rPr>
            <b/>
            <sz val="9"/>
            <color indexed="81"/>
            <rFont val="Tahoma"/>
            <family val="2"/>
          </rPr>
          <t>The system is obsolete or works intermittently in multiple areas and requires a system replacement</t>
        </r>
      </text>
    </comment>
    <comment ref="H128" authorId="1" shapeId="0" xr:uid="{D52E39AB-288E-43F4-812C-C8A5D3330BDE}">
      <text>
        <r>
          <rPr>
            <b/>
            <sz val="9"/>
            <color indexed="81"/>
            <rFont val="Tahoma"/>
            <family val="2"/>
          </rPr>
          <t>Minor components are worn or damaged requiring repair or replacement</t>
        </r>
      </text>
    </comment>
    <comment ref="J128" authorId="0" shapeId="0" xr:uid="{00000000-0006-0000-0200-000029010000}">
      <text>
        <r>
          <rPr>
            <b/>
            <sz val="9"/>
            <color indexed="81"/>
            <rFont val="Tahoma"/>
            <family val="2"/>
          </rPr>
          <t>There are individual devices that are not functional.</t>
        </r>
      </text>
    </comment>
    <comment ref="L128" authorId="0" shapeId="0" xr:uid="{00000000-0006-0000-0200-00002A010000}">
      <text>
        <r>
          <rPr>
            <b/>
            <sz val="9"/>
            <color indexed="81"/>
            <rFont val="Tahoma"/>
            <family val="2"/>
          </rPr>
          <t xml:space="preserve">The master control panel is obsolete or not functional.
</t>
        </r>
      </text>
    </comment>
    <comment ref="N128" authorId="0" shapeId="0" xr:uid="{00000000-0006-0000-0200-00002B010000}">
      <text>
        <r>
          <rPr>
            <b/>
            <sz val="9"/>
            <color indexed="81"/>
            <rFont val="Tahoma"/>
            <family val="2"/>
          </rPr>
          <t>The system is obsolete or works intermittently in multiple areas and requires a system replacement.</t>
        </r>
      </text>
    </comment>
    <comment ref="P128" authorId="0" shapeId="0" xr:uid="{00000000-0006-0000-0200-000028010000}">
      <text>
        <r>
          <rPr>
            <b/>
            <sz val="9"/>
            <color indexed="81"/>
            <rFont val="Tahoma"/>
            <family val="2"/>
          </rPr>
          <t>The system is obsolete or works intermittently in multiple areas and requires a system replacement</t>
        </r>
      </text>
    </comment>
    <comment ref="H129" authorId="1" shapeId="0" xr:uid="{FDDE6907-5580-4361-8394-23153FB3A25F}">
      <text>
        <r>
          <rPr>
            <b/>
            <sz val="9"/>
            <color indexed="81"/>
            <rFont val="Tahoma"/>
            <family val="2"/>
          </rPr>
          <t>Minor components are worn or damaged requiring repair or replacement</t>
        </r>
      </text>
    </comment>
    <comment ref="J129" authorId="0" shapeId="0" xr:uid="{00000000-0006-0000-0200-00002D010000}">
      <text>
        <r>
          <rPr>
            <b/>
            <sz val="9"/>
            <color indexed="81"/>
            <rFont val="Tahoma"/>
            <family val="2"/>
          </rPr>
          <t>There are individual devices that are not functional.</t>
        </r>
      </text>
    </comment>
    <comment ref="L129" authorId="0" shapeId="0" xr:uid="{00000000-0006-0000-0200-00002E010000}">
      <text>
        <r>
          <rPr>
            <b/>
            <sz val="9"/>
            <color indexed="81"/>
            <rFont val="Tahoma"/>
            <family val="2"/>
          </rPr>
          <t xml:space="preserve">The master control panel is obsolete or not functional.
</t>
        </r>
      </text>
    </comment>
    <comment ref="N129" authorId="0" shapeId="0" xr:uid="{00000000-0006-0000-0200-00002F010000}">
      <text>
        <r>
          <rPr>
            <b/>
            <sz val="9"/>
            <color indexed="81"/>
            <rFont val="Tahoma"/>
            <family val="2"/>
          </rPr>
          <t>The system is obsolete or works intermittently in multiple areas and requires a system replacement.</t>
        </r>
      </text>
    </comment>
    <comment ref="P129" authorId="0" shapeId="0" xr:uid="{00000000-0006-0000-0200-00002C010000}">
      <text>
        <r>
          <rPr>
            <b/>
            <sz val="9"/>
            <color indexed="81"/>
            <rFont val="Tahoma"/>
            <family val="2"/>
          </rPr>
          <t>The system is obsolete or works intermittently in multiple areas and requires a system replacement</t>
        </r>
      </text>
    </comment>
    <comment ref="H130" authorId="1" shapeId="0" xr:uid="{0523B767-9405-4E6E-B0D2-8FD15BAE3258}">
      <text>
        <r>
          <rPr>
            <b/>
            <sz val="9"/>
            <color indexed="81"/>
            <rFont val="Tahoma"/>
            <family val="2"/>
          </rPr>
          <t>Minor components are worn or damaged requiring repair or replacement</t>
        </r>
      </text>
    </comment>
    <comment ref="J130" authorId="0" shapeId="0" xr:uid="{00000000-0006-0000-0200-000031010000}">
      <text>
        <r>
          <rPr>
            <b/>
            <sz val="9"/>
            <color indexed="81"/>
            <rFont val="Tahoma"/>
            <family val="2"/>
          </rPr>
          <t>There are individual devices that are not functional.</t>
        </r>
      </text>
    </comment>
    <comment ref="L130" authorId="0" shapeId="0" xr:uid="{00000000-0006-0000-0200-000032010000}">
      <text>
        <r>
          <rPr>
            <b/>
            <sz val="9"/>
            <color indexed="81"/>
            <rFont val="Tahoma"/>
            <family val="2"/>
          </rPr>
          <t xml:space="preserve">The master control panel is obsolete or not functional.
</t>
        </r>
      </text>
    </comment>
    <comment ref="N130" authorId="0" shapeId="0" xr:uid="{00000000-0006-0000-0200-000033010000}">
      <text>
        <r>
          <rPr>
            <b/>
            <sz val="9"/>
            <color indexed="81"/>
            <rFont val="Tahoma"/>
            <family val="2"/>
          </rPr>
          <t>The system is obsolete or works intermittently in multiple areas and requires a system replacement.</t>
        </r>
      </text>
    </comment>
    <comment ref="P130" authorId="0" shapeId="0" xr:uid="{00000000-0006-0000-0200-000030010000}">
      <text>
        <r>
          <rPr>
            <b/>
            <sz val="9"/>
            <color indexed="81"/>
            <rFont val="Tahoma"/>
            <family val="2"/>
          </rPr>
          <t>The system is obsolete or works intermittently in multiple areas and requires a system replacement</t>
        </r>
      </text>
    </comment>
    <comment ref="H131" authorId="1" shapeId="0" xr:uid="{86F0FA42-6115-4DA6-9A45-8BCB84AE3D37}">
      <text>
        <r>
          <rPr>
            <b/>
            <sz val="9"/>
            <color indexed="81"/>
            <rFont val="Tahoma"/>
            <family val="2"/>
          </rPr>
          <t>Minor components are worn or damaged requiring repair or replacement</t>
        </r>
      </text>
    </comment>
    <comment ref="J131" authorId="0" shapeId="0" xr:uid="{00000000-0006-0000-0200-000035010000}">
      <text>
        <r>
          <rPr>
            <b/>
            <sz val="9"/>
            <color indexed="81"/>
            <rFont val="Tahoma"/>
            <family val="2"/>
          </rPr>
          <t>There are individual devices that are not functional.</t>
        </r>
      </text>
    </comment>
    <comment ref="L131" authorId="0" shapeId="0" xr:uid="{00000000-0006-0000-0200-000036010000}">
      <text>
        <r>
          <rPr>
            <b/>
            <sz val="9"/>
            <color indexed="81"/>
            <rFont val="Tahoma"/>
            <family val="2"/>
          </rPr>
          <t xml:space="preserve">The master control panel is obsolete or not functional.
</t>
        </r>
      </text>
    </comment>
    <comment ref="N131" authorId="0" shapeId="0" xr:uid="{00000000-0006-0000-0200-000037010000}">
      <text>
        <r>
          <rPr>
            <b/>
            <sz val="9"/>
            <color indexed="81"/>
            <rFont val="Tahoma"/>
            <family val="2"/>
          </rPr>
          <t>The system is obsolete or works intermittently in multiple areas and requires a system replacement.</t>
        </r>
      </text>
    </comment>
    <comment ref="P131" authorId="0" shapeId="0" xr:uid="{00000000-0006-0000-0200-000034010000}">
      <text>
        <r>
          <rPr>
            <b/>
            <sz val="9"/>
            <color indexed="81"/>
            <rFont val="Tahoma"/>
            <family val="2"/>
          </rPr>
          <t>The system is obsolete or works intermittently in multiple areas and requires a system replacement</t>
        </r>
      </text>
    </comment>
    <comment ref="H132" authorId="1" shapeId="0" xr:uid="{280E4029-5895-43DB-BEDE-3D9D862A4D4D}">
      <text>
        <r>
          <rPr>
            <b/>
            <sz val="9"/>
            <color indexed="81"/>
            <rFont val="Tahoma"/>
            <family val="2"/>
          </rPr>
          <t>Minor components are worn or damaged requiring repair or replacement</t>
        </r>
      </text>
    </comment>
    <comment ref="J132" authorId="0" shapeId="0" xr:uid="{00000000-0006-0000-0200-000039010000}">
      <text>
        <r>
          <rPr>
            <b/>
            <sz val="9"/>
            <color indexed="81"/>
            <rFont val="Tahoma"/>
            <family val="2"/>
          </rPr>
          <t>There are individual devices that are not functional or in regular alarm.</t>
        </r>
      </text>
    </comment>
    <comment ref="L132" authorId="0" shapeId="0" xr:uid="{00000000-0006-0000-0200-00003A010000}">
      <text>
        <r>
          <rPr>
            <b/>
            <sz val="9"/>
            <color indexed="81"/>
            <rFont val="Tahoma"/>
            <family val="2"/>
          </rPr>
          <t xml:space="preserve">The master control panel is obsolete or not functional.
</t>
        </r>
      </text>
    </comment>
    <comment ref="N132" authorId="0" shapeId="0" xr:uid="{00000000-0006-0000-0200-00003B010000}">
      <text>
        <r>
          <rPr>
            <b/>
            <sz val="9"/>
            <color indexed="81"/>
            <rFont val="Tahoma"/>
            <family val="2"/>
          </rPr>
          <t>The entire system is dysfunctional and constantly in trouble mode with areas not fully covered.  Remove and replace system.</t>
        </r>
      </text>
    </comment>
    <comment ref="P132" authorId="0" shapeId="0" xr:uid="{00000000-0006-0000-0200-000038010000}">
      <text>
        <r>
          <rPr>
            <b/>
            <sz val="9"/>
            <color indexed="81"/>
            <rFont val="Tahoma"/>
            <family val="2"/>
          </rPr>
          <t>The entire system is dysfunctional and constantly in trouble mode with areas not fully covered.  Remove and replace system</t>
        </r>
      </text>
    </comment>
    <comment ref="H133" authorId="0" shapeId="0" xr:uid="{00000000-0006-0000-0200-00003D010000}">
      <text>
        <r>
          <rPr>
            <b/>
            <sz val="9"/>
            <color indexed="81"/>
            <rFont val="Tahoma"/>
            <family val="2"/>
          </rPr>
          <t>Individual room sensors are failing and require replacement.</t>
        </r>
      </text>
    </comment>
    <comment ref="J133" authorId="1" shapeId="0" xr:uid="{AAF7842E-50FD-4BCC-9C3E-B4CAA7C793B9}">
      <text>
        <r>
          <rPr>
            <b/>
            <sz val="9"/>
            <color indexed="81"/>
            <rFont val="Tahoma"/>
            <family val="2"/>
          </rPr>
          <t>There are individual devices that are not functional.</t>
        </r>
      </text>
    </comment>
    <comment ref="L133" authorId="0" shapeId="0" xr:uid="{00000000-0006-0000-0200-00003E010000}">
      <text>
        <r>
          <rPr>
            <b/>
            <sz val="9"/>
            <color indexed="81"/>
            <rFont val="Tahoma"/>
            <family val="2"/>
          </rPr>
          <t>The central control panel and software need upgraded.</t>
        </r>
      </text>
    </comment>
    <comment ref="N133" authorId="0" shapeId="0" xr:uid="{00000000-0006-0000-0200-00003F010000}">
      <text>
        <r>
          <rPr>
            <b/>
            <sz val="9"/>
            <color indexed="81"/>
            <rFont val="Tahoma"/>
            <family val="2"/>
          </rPr>
          <t>The entire system is in failure and requires replacement of sensors, wiring and central panel.</t>
        </r>
      </text>
    </comment>
    <comment ref="P133" authorId="0" shapeId="0" xr:uid="{00000000-0006-0000-0200-00003C010000}">
      <text>
        <r>
          <rPr>
            <b/>
            <sz val="9"/>
            <color indexed="81"/>
            <rFont val="Tahoma"/>
            <family val="2"/>
          </rPr>
          <t>The entire system is in failure and requires replacement of sensors, wiring and central panel</t>
        </r>
      </text>
    </comment>
    <comment ref="H137" authorId="0" shapeId="0" xr:uid="{00000000-0006-0000-0200-000041010000}">
      <text>
        <r>
          <rPr>
            <b/>
            <sz val="9"/>
            <color indexed="81"/>
            <rFont val="Tahoma"/>
            <family val="2"/>
          </rPr>
          <t>2-3 pieces of equipment require replacement.</t>
        </r>
      </text>
    </comment>
    <comment ref="J137" authorId="0" shapeId="0" xr:uid="{00000000-0006-0000-0200-000042010000}">
      <text>
        <r>
          <rPr>
            <b/>
            <sz val="9"/>
            <color indexed="81"/>
            <rFont val="Tahoma"/>
            <family val="2"/>
          </rPr>
          <t>Counters and sinks are not code compliant and require replacement with stainless steel and sink system.</t>
        </r>
      </text>
    </comment>
    <comment ref="L137" authorId="0" shapeId="0" xr:uid="{00000000-0006-0000-0200-000043010000}">
      <text>
        <r>
          <rPr>
            <b/>
            <sz val="9"/>
            <color indexed="81"/>
            <rFont val="Tahoma"/>
            <family val="2"/>
          </rPr>
          <t>Walk-in cooler and freezer are not functional or function intermittently and require replacement.</t>
        </r>
      </text>
    </comment>
    <comment ref="N137" authorId="0" shapeId="0" xr:uid="{00000000-0006-0000-0200-000044010000}">
      <text>
        <r>
          <rPr>
            <b/>
            <sz val="9"/>
            <color indexed="81"/>
            <rFont val="Tahoma"/>
            <family val="2"/>
          </rPr>
          <t>Walk-ins and kitchen design does not meet current functional requirements or has become obsolete and requires complete replacement as a full prep kitchen.</t>
        </r>
      </text>
    </comment>
    <comment ref="P137" authorId="0" shapeId="0" xr:uid="{00000000-0006-0000-0200-000040010000}">
      <text>
        <r>
          <rPr>
            <b/>
            <sz val="9"/>
            <color indexed="81"/>
            <rFont val="Tahoma"/>
            <family val="2"/>
          </rPr>
          <t>Walk-ins and kitchen design does not meet current functional requirements or has become obsolete and requires complete replacement as a full prep kitchen</t>
        </r>
      </text>
    </comment>
    <comment ref="H138" authorId="0" shapeId="0" xr:uid="{00000000-0006-0000-0200-000046010000}">
      <text>
        <r>
          <rPr>
            <b/>
            <sz val="9"/>
            <color indexed="81"/>
            <rFont val="Tahoma"/>
            <family val="2"/>
          </rPr>
          <t>2-3 pieces of equipment require repair.</t>
        </r>
      </text>
    </comment>
    <comment ref="J138" authorId="1" shapeId="0" xr:uid="{E7A80DDA-F68D-444A-8E38-74E6E5F8E8D2}">
      <text>
        <r>
          <rPr>
            <b/>
            <sz val="9"/>
            <color indexed="81"/>
            <rFont val="Tahoma"/>
            <family val="2"/>
          </rPr>
          <t>2-3 pieces of equipment require replacement.</t>
        </r>
      </text>
    </comment>
    <comment ref="L138" authorId="0" shapeId="0" xr:uid="{00000000-0006-0000-0200-000047010000}">
      <text>
        <r>
          <rPr>
            <b/>
            <sz val="9"/>
            <color indexed="81"/>
            <rFont val="Tahoma"/>
            <family val="2"/>
          </rPr>
          <t>Mechanical and electrical service upgrades are required to meet code and amount of program equipment.</t>
        </r>
      </text>
    </comment>
    <comment ref="N138" authorId="0" shapeId="0" xr:uid="{00000000-0006-0000-0200-000048010000}">
      <text>
        <r>
          <rPr>
            <b/>
            <sz val="9"/>
            <color indexed="81"/>
            <rFont val="Tahoma"/>
            <family val="2"/>
          </rPr>
          <t>Both mechanical and electrical AND equipment needs replacement to meet program criteria and code.</t>
        </r>
      </text>
    </comment>
    <comment ref="P138" authorId="0" shapeId="0" xr:uid="{00000000-0006-0000-0200-000045010000}">
      <text>
        <r>
          <rPr>
            <b/>
            <sz val="9"/>
            <color indexed="81"/>
            <rFont val="Tahoma"/>
            <family val="2"/>
          </rPr>
          <t>Both mechanical and electrical AND equipment needs replacement to meet program criteria and code</t>
        </r>
      </text>
    </comment>
    <comment ref="E139" authorId="4" shapeId="0" xr:uid="{00000000-0006-0000-0200-00004A010000}">
      <text>
        <r>
          <rPr>
            <b/>
            <sz val="9"/>
            <color indexed="81"/>
            <rFont val="Tahoma"/>
            <family val="2"/>
          </rPr>
          <t>Enter total square feet of science classrooms.</t>
        </r>
      </text>
    </comment>
    <comment ref="H139" authorId="1" shapeId="0" xr:uid="{28E15F57-A81E-4938-9EC3-D5C413713CF8}">
      <text>
        <r>
          <rPr>
            <b/>
            <sz val="9"/>
            <color indexed="81"/>
            <rFont val="Tahoma"/>
            <family val="2"/>
          </rPr>
          <t>Minor repairs required to stationary equipment</t>
        </r>
      </text>
    </comment>
    <comment ref="J139" authorId="0" shapeId="0" xr:uid="{00000000-0006-0000-0200-00004B010000}">
      <text>
        <r>
          <rPr>
            <b/>
            <sz val="9"/>
            <color indexed="81"/>
            <rFont val="Tahoma"/>
            <family val="2"/>
          </rPr>
          <t>Room lacking (and needing) eye wash or fume hood.</t>
        </r>
      </text>
    </comment>
    <comment ref="L139" authorId="0" shapeId="0" xr:uid="{00000000-0006-0000-0200-00004C010000}">
      <text>
        <r>
          <rPr>
            <b/>
            <sz val="9"/>
            <color indexed="81"/>
            <rFont val="Tahoma"/>
            <family val="2"/>
          </rPr>
          <t>Sinks are in disrepair and require replacement.</t>
        </r>
      </text>
    </comment>
    <comment ref="N139" authorId="0" shapeId="0" xr:uid="{00000000-0006-0000-0200-00004D010000}">
      <text>
        <r>
          <rPr>
            <b/>
            <sz val="9"/>
            <color indexed="81"/>
            <rFont val="Tahoma"/>
            <family val="2"/>
          </rPr>
          <t>Work stations need upgrades to meet current program criteria - replace.</t>
        </r>
      </text>
    </comment>
    <comment ref="P139" authorId="0" shapeId="0" xr:uid="{00000000-0006-0000-0200-000049010000}">
      <text>
        <r>
          <rPr>
            <b/>
            <sz val="9"/>
            <color indexed="81"/>
            <rFont val="Tahoma"/>
            <family val="2"/>
          </rPr>
          <t>Work stations need upgrades to meet current program criteria - replace</t>
        </r>
      </text>
    </comment>
    <comment ref="E140" authorId="4" shapeId="0" xr:uid="{00000000-0006-0000-0200-00004F010000}">
      <text>
        <r>
          <rPr>
            <b/>
            <sz val="9"/>
            <color indexed="81"/>
            <rFont val="Tahoma"/>
            <family val="2"/>
          </rPr>
          <t>Enter total square feet of art classrooms.</t>
        </r>
      </text>
    </comment>
    <comment ref="H140" authorId="1" shapeId="0" xr:uid="{35AB91BD-244F-4BD4-B169-B8620EB7897B}">
      <text>
        <r>
          <rPr>
            <b/>
            <sz val="9"/>
            <color indexed="81"/>
            <rFont val="Tahoma"/>
            <family val="2"/>
          </rPr>
          <t>Minor repairs required to stationary equipment</t>
        </r>
      </text>
    </comment>
    <comment ref="J140" authorId="0" shapeId="0" xr:uid="{00000000-0006-0000-0200-000050010000}">
      <text>
        <r>
          <rPr>
            <b/>
            <sz val="9"/>
            <color indexed="81"/>
            <rFont val="Tahoma"/>
            <family val="2"/>
          </rPr>
          <t>Storage units damaged or in disrepair.</t>
        </r>
      </text>
    </comment>
    <comment ref="L140" authorId="0" shapeId="0" xr:uid="{00000000-0006-0000-0200-000051010000}">
      <text>
        <r>
          <rPr>
            <b/>
            <sz val="9"/>
            <color indexed="81"/>
            <rFont val="Tahoma"/>
            <family val="2"/>
          </rPr>
          <t>Sinks are in disrepair and require replacement.</t>
        </r>
      </text>
    </comment>
    <comment ref="N140" authorId="0" shapeId="0" xr:uid="{00000000-0006-0000-0200-000052010000}">
      <text>
        <r>
          <rPr>
            <b/>
            <sz val="9"/>
            <color indexed="81"/>
            <rFont val="Tahoma"/>
            <family val="2"/>
          </rPr>
          <t>Work stations need upgrades to meet current program criteria - replace.</t>
        </r>
      </text>
    </comment>
    <comment ref="P140" authorId="0" shapeId="0" xr:uid="{00000000-0006-0000-0200-00004E010000}">
      <text>
        <r>
          <rPr>
            <b/>
            <sz val="9"/>
            <color indexed="81"/>
            <rFont val="Tahoma"/>
            <family val="2"/>
          </rPr>
          <t>Work stations need upgrades to meet current program criteria - replace</t>
        </r>
      </text>
    </comment>
    <comment ref="C141" authorId="5" shapeId="0" xr:uid="{4F0DB040-BF8E-45BF-BA4B-5CF5BA7E6FE0}">
      <text>
        <t xml:space="preserve">[Threaded comment]
Your version of Excel allows you to read this threaded comment; however, any edits to it will get removed if the file is opened in a newer version of Excel. Learn more: https://go.microsoft.com/fwlink/?linkid=870924
Comment:
    there was a slight formatting difference b/t this and the label in the PCA cost table: changed to the PCA cost table language
</t>
      </text>
    </comment>
    <comment ref="E141" authorId="0" shapeId="0" xr:uid="{00000000-0006-0000-0200-000054010000}">
      <text>
        <r>
          <rPr>
            <b/>
            <sz val="9"/>
            <color indexed="81"/>
            <rFont val="Tahoma"/>
            <family val="2"/>
          </rPr>
          <t>Insert square feet of auditorium. If multi-purpose room, enter square feet of stage area only. Assumes stage with rigging and lighting.</t>
        </r>
      </text>
    </comment>
    <comment ref="H141" authorId="1" shapeId="0" xr:uid="{785B6050-0C87-4178-91C1-CF56CF142C66}">
      <text>
        <r>
          <rPr>
            <b/>
            <sz val="9"/>
            <color indexed="81"/>
            <rFont val="Tahoma"/>
            <family val="2"/>
          </rPr>
          <t>Casework and other stationary pieces of equipment require repair.</t>
        </r>
        <r>
          <rPr>
            <sz val="9"/>
            <color indexed="81"/>
            <rFont val="Tahoma"/>
            <family val="2"/>
          </rPr>
          <t xml:space="preserve">
</t>
        </r>
      </text>
    </comment>
    <comment ref="J141" authorId="0" shapeId="0" xr:uid="{00000000-0006-0000-0200-000055010000}">
      <text>
        <r>
          <rPr>
            <b/>
            <sz val="9"/>
            <color indexed="81"/>
            <rFont val="Tahoma"/>
            <family val="2"/>
          </rPr>
          <t>Seats damaged and need replacement OR sound OR lighting system inadequate and needs upgraded.</t>
        </r>
      </text>
    </comment>
    <comment ref="L141" authorId="0" shapeId="0" xr:uid="{00000000-0006-0000-0200-000056010000}">
      <text>
        <r>
          <rPr>
            <b/>
            <sz val="9"/>
            <color indexed="81"/>
            <rFont val="Tahoma"/>
            <family val="2"/>
          </rPr>
          <t>Fly rigging in disrepair and needs upgrading.</t>
        </r>
      </text>
    </comment>
    <comment ref="N141" authorId="0" shapeId="0" xr:uid="{00000000-0006-0000-0200-000057010000}">
      <text>
        <r>
          <rPr>
            <b/>
            <sz val="9"/>
            <color indexed="81"/>
            <rFont val="Tahoma"/>
            <family val="2"/>
          </rPr>
          <t>2 or more stage system dysfunctional and needs upgrade/replacement to production systems.</t>
        </r>
      </text>
    </comment>
    <comment ref="P141" authorId="0" shapeId="0" xr:uid="{00000000-0006-0000-0200-000053010000}">
      <text>
        <r>
          <rPr>
            <b/>
            <sz val="9"/>
            <color indexed="81"/>
            <rFont val="Tahoma"/>
            <family val="2"/>
          </rPr>
          <t>2 or more stage system dysfunctional and needs upgrade / replacement to production systems</t>
        </r>
      </text>
    </comment>
    <comment ref="H142" authorId="0" shapeId="0" xr:uid="{00000000-0006-0000-0200-000059010000}">
      <text>
        <r>
          <rPr>
            <b/>
            <sz val="9"/>
            <color indexed="81"/>
            <rFont val="Tahoma"/>
            <family val="2"/>
          </rPr>
          <t>An accessory is damaged or missing</t>
        </r>
      </text>
    </comment>
    <comment ref="J142" authorId="0" shapeId="0" xr:uid="{00000000-0006-0000-0200-00005A010000}">
      <text>
        <r>
          <rPr>
            <b/>
            <sz val="9"/>
            <color indexed="81"/>
            <rFont val="Tahoma"/>
            <family val="2"/>
          </rPr>
          <t>Accessories need to be replaced to meet ADA</t>
        </r>
      </text>
    </comment>
    <comment ref="L142" authorId="0" shapeId="0" xr:uid="{00000000-0006-0000-0200-00005B010000}">
      <text>
        <r>
          <rPr>
            <b/>
            <sz val="9"/>
            <color indexed="81"/>
            <rFont val="Tahoma"/>
            <family val="2"/>
          </rPr>
          <t>The stall doors are not functional or missing and need to be replaced.</t>
        </r>
      </text>
    </comment>
    <comment ref="N142" authorId="0" shapeId="0" xr:uid="{00000000-0006-0000-0200-00005C010000}">
      <text>
        <r>
          <rPr>
            <b/>
            <sz val="9"/>
            <color indexed="81"/>
            <rFont val="Tahoma"/>
            <family val="2"/>
          </rPr>
          <t>The restrooms stall structure is failing or needs re-configuration and needs to be replaced.</t>
        </r>
      </text>
    </comment>
    <comment ref="P142" authorId="0" shapeId="0" xr:uid="{00000000-0006-0000-0200-000058010000}">
      <text>
        <r>
          <rPr>
            <b/>
            <sz val="9"/>
            <color indexed="81"/>
            <rFont val="Tahoma"/>
            <family val="2"/>
          </rPr>
          <t>The restrooms stall structure is failing or needs re-configuration and needs to be replaced</t>
        </r>
      </text>
    </comment>
    <comment ref="D143" authorId="0" shapeId="0" xr:uid="{00000000-0006-0000-0200-00005D010000}">
      <text>
        <r>
          <rPr>
            <b/>
            <sz val="9"/>
            <color indexed="81"/>
            <rFont val="Tahoma"/>
            <family val="2"/>
          </rPr>
          <t>Note anything specific in the "Other" category at the bottom of the assessment form</t>
        </r>
      </text>
    </comment>
    <comment ref="C146" authorId="0" shapeId="0" xr:uid="{00000000-0006-0000-0200-00005F010000}">
      <text>
        <r>
          <rPr>
            <b/>
            <sz val="9"/>
            <color indexed="81"/>
            <rFont val="Tahoma"/>
            <family val="2"/>
          </rPr>
          <t>Assume fixed casework (counters, cabinets, shelving, etc.).</t>
        </r>
      </text>
    </comment>
    <comment ref="H146" authorId="0" shapeId="0" xr:uid="{00000000-0006-0000-0200-000060010000}">
      <text>
        <r>
          <rPr>
            <b/>
            <sz val="9"/>
            <color indexed="81"/>
            <rFont val="Tahoma"/>
            <family val="2"/>
          </rPr>
          <t>The counter top or exposed surface has been damaged and can be refinished.</t>
        </r>
      </text>
    </comment>
    <comment ref="J146" authorId="0" shapeId="0" xr:uid="{00000000-0006-0000-0200-000061010000}">
      <text>
        <r>
          <rPr>
            <b/>
            <sz val="9"/>
            <color indexed="81"/>
            <rFont val="Tahoma"/>
            <family val="2"/>
          </rPr>
          <t>The drawers and/or doors are damaged and require replacement including hardware.</t>
        </r>
      </text>
    </comment>
    <comment ref="L146" authorId="0" shapeId="0" xr:uid="{00000000-0006-0000-0200-000062010000}">
      <text>
        <r>
          <rPr>
            <b/>
            <sz val="9"/>
            <color indexed="81"/>
            <rFont val="Tahoma"/>
            <family val="2"/>
          </rPr>
          <t>A combination of minor and moderate action is required, but the cabinet box is still salvageable.</t>
        </r>
      </text>
    </comment>
    <comment ref="N146" authorId="0" shapeId="0" xr:uid="{00000000-0006-0000-0200-000063010000}">
      <text>
        <r>
          <rPr>
            <b/>
            <sz val="9"/>
            <color indexed="81"/>
            <rFont val="Tahoma"/>
            <family val="2"/>
          </rPr>
          <t>The casework is severely damaged throughout or is obsolete for the purposes of the space and needs to be replaced.</t>
        </r>
      </text>
    </comment>
    <comment ref="P146" authorId="0" shapeId="0" xr:uid="{00000000-0006-0000-0200-00005E010000}">
      <text>
        <r>
          <rPr>
            <b/>
            <sz val="9"/>
            <color indexed="81"/>
            <rFont val="Tahoma"/>
            <family val="2"/>
          </rPr>
          <t>The casework is severely damaged throughout or is obsolete for the purposes of the space and needs to be replaced</t>
        </r>
      </text>
    </comment>
    <comment ref="C147" authorId="0" shapeId="0" xr:uid="{00000000-0006-0000-0200-000065010000}">
      <text>
        <r>
          <rPr>
            <b/>
            <sz val="9"/>
            <color indexed="81"/>
            <rFont val="Tahoma"/>
            <family val="2"/>
          </rPr>
          <t>Assume loose furnishings (desks, chairs, tables, etc.).</t>
        </r>
      </text>
    </comment>
    <comment ref="H147" authorId="1" shapeId="0" xr:uid="{88674F66-398B-4DE5-BBB8-C740755974A7}">
      <text>
        <r>
          <rPr>
            <b/>
            <sz val="9"/>
            <color indexed="81"/>
            <rFont val="Tahoma"/>
            <family val="2"/>
          </rPr>
          <t>Some pieces of furnishings require repair</t>
        </r>
        <r>
          <rPr>
            <sz val="9"/>
            <color indexed="81"/>
            <rFont val="Tahoma"/>
            <family val="2"/>
          </rPr>
          <t xml:space="preserve">
</t>
        </r>
      </text>
    </comment>
    <comment ref="N147" authorId="0" shapeId="0" xr:uid="{00000000-0006-0000-0200-000066010000}">
      <text>
        <r>
          <rPr>
            <b/>
            <sz val="9"/>
            <color indexed="81"/>
            <rFont val="Tahoma"/>
            <family val="2"/>
          </rPr>
          <t>The furnishings are severely worn or are inappropriate for the age of students or function of space and require replacement.</t>
        </r>
      </text>
    </comment>
    <comment ref="P147" authorId="0" shapeId="0" xr:uid="{00000000-0006-0000-0200-000064010000}">
      <text>
        <r>
          <rPr>
            <b/>
            <sz val="9"/>
            <color indexed="81"/>
            <rFont val="Tahoma"/>
            <family val="2"/>
          </rPr>
          <t>The furnishings are severely worn or are inappropriate for the age of students or function of space and require replacement</t>
        </r>
      </text>
    </comment>
    <comment ref="C152" authorId="0" shapeId="0" xr:uid="{00000000-0006-0000-0200-000068010000}">
      <text>
        <r>
          <rPr>
            <b/>
            <sz val="9"/>
            <color indexed="81"/>
            <rFont val="Tahoma"/>
            <family val="2"/>
          </rPr>
          <t>Paved only or needs to be paved. Apply to surface area.</t>
        </r>
      </text>
    </comment>
    <comment ref="E152" authorId="0" shapeId="0" xr:uid="{00000000-0006-0000-0200-000069010000}">
      <text>
        <r>
          <rPr>
            <b/>
            <sz val="9"/>
            <color indexed="81"/>
            <rFont val="Tahoma"/>
            <family val="2"/>
          </rPr>
          <t>Indicate square footage of road.</t>
        </r>
      </text>
    </comment>
    <comment ref="H152" authorId="0" shapeId="0" xr:uid="{00000000-0006-0000-0200-00006A010000}">
      <text>
        <r>
          <rPr>
            <b/>
            <sz val="9"/>
            <color indexed="81"/>
            <rFont val="Tahoma"/>
            <family val="2"/>
          </rPr>
          <t>Minor cracking exists and can be resolved with application of a slurry coat.</t>
        </r>
      </text>
    </comment>
    <comment ref="J152" authorId="1" shapeId="0" xr:uid="{969796C1-4B4B-49BA-84B1-5DCC6C2335CA}">
      <text>
        <r>
          <rPr>
            <b/>
            <sz val="9"/>
            <color indexed="81"/>
            <rFont val="Tahoma"/>
            <family val="2"/>
          </rPr>
          <t>Moderate cracking exists and can be resolved with application of a slurry coat and moderate leveling</t>
        </r>
      </text>
    </comment>
    <comment ref="L152" authorId="0" shapeId="0" xr:uid="{00000000-0006-0000-0200-00006B010000}">
      <text>
        <r>
          <rPr>
            <b/>
            <sz val="9"/>
            <color indexed="81"/>
            <rFont val="Tahoma"/>
            <family val="2"/>
          </rPr>
          <t>Surface is alligatoring requiring a section to be removed down to gravel base, replaced, and region slurry coated.</t>
        </r>
      </text>
    </comment>
    <comment ref="N152" authorId="0" shapeId="0" xr:uid="{00000000-0006-0000-0200-00006C010000}">
      <text>
        <r>
          <rPr>
            <b/>
            <sz val="9"/>
            <color indexed="81"/>
            <rFont val="Tahoma"/>
            <family val="2"/>
          </rPr>
          <t>Surface is broken and shows evidence of heaving and/or settlement requiring removal of asphalt and over-ex of sub-grade with complete replacement. Where there is only a gravel road and a paved one is needed, this category should be used.</t>
        </r>
      </text>
    </comment>
    <comment ref="P152" authorId="0" shapeId="0" xr:uid="{00000000-0006-0000-0200-000067010000}">
      <text>
        <r>
          <rPr>
            <b/>
            <sz val="9"/>
            <color indexed="81"/>
            <rFont val="Tahoma"/>
            <family val="2"/>
          </rPr>
          <t>Surface is broken and shows evidence of heaving and/or settlement requiring removal of asphalt and over-ex of sub-grade with complete replacement.  Where there is only a gravel road and a paved one is needed, this category shall be used</t>
        </r>
      </text>
    </comment>
    <comment ref="C153" authorId="0" shapeId="0" xr:uid="{00000000-0006-0000-0200-00006E010000}">
      <text>
        <r>
          <rPr>
            <b/>
            <sz val="9"/>
            <color indexed="81"/>
            <rFont val="Tahoma"/>
            <family val="2"/>
          </rPr>
          <t>Paved only or needs to be paved. Apply to surface area.</t>
        </r>
      </text>
    </comment>
    <comment ref="E153" authorId="0" shapeId="0" xr:uid="{00000000-0006-0000-0200-00006F010000}">
      <text>
        <r>
          <rPr>
            <b/>
            <sz val="9"/>
            <color indexed="81"/>
            <rFont val="Tahoma"/>
            <family val="2"/>
          </rPr>
          <t xml:space="preserve">Indicate square footage of parking lot. </t>
        </r>
      </text>
    </comment>
    <comment ref="H153" authorId="0" shapeId="0" xr:uid="{00000000-0006-0000-0200-000070010000}">
      <text>
        <r>
          <rPr>
            <b/>
            <sz val="9"/>
            <color indexed="81"/>
            <rFont val="Tahoma"/>
            <family val="2"/>
          </rPr>
          <t>Minor cracking exists and can be resolved with application of a slurry coat.</t>
        </r>
      </text>
    </comment>
    <comment ref="J153" authorId="1" shapeId="0" xr:uid="{3989593F-EBF8-42E2-A81C-4001F1DA5231}">
      <text>
        <r>
          <rPr>
            <b/>
            <sz val="9"/>
            <color indexed="81"/>
            <rFont val="Tahoma"/>
            <family val="2"/>
          </rPr>
          <t>Moderate cracking exists and can be resolved with application of a slurry coat and moderate leveling</t>
        </r>
      </text>
    </comment>
    <comment ref="L153" authorId="0" shapeId="0" xr:uid="{00000000-0006-0000-0200-000071010000}">
      <text>
        <r>
          <rPr>
            <b/>
            <sz val="9"/>
            <color indexed="81"/>
            <rFont val="Tahoma"/>
            <family val="2"/>
          </rPr>
          <t>Surface is alligatoring requiring a section to be removed down to gravel base, replaced, and region slurry coated.</t>
        </r>
      </text>
    </comment>
    <comment ref="N153" authorId="0" shapeId="0" xr:uid="{00000000-0006-0000-0200-000072010000}">
      <text>
        <r>
          <rPr>
            <b/>
            <sz val="9"/>
            <color indexed="81"/>
            <rFont val="Tahoma"/>
            <family val="2"/>
          </rPr>
          <t>Surface is broken and shows evidence of heaving and/or settlement requiring removal of asphalt and over-ex of sub-grade with complete replacement. Where there is only a gravel lot and a paved one is needed, this category shall be used.</t>
        </r>
      </text>
    </comment>
    <comment ref="P153" authorId="0" shapeId="0" xr:uid="{00000000-0006-0000-0200-00006D010000}">
      <text>
        <r>
          <rPr>
            <b/>
            <sz val="9"/>
            <color indexed="81"/>
            <rFont val="Tahoma"/>
            <family val="2"/>
          </rPr>
          <t>Surface is broken and shows evidence of heaving and/or settlement requiring removal of asphalt and over-ex of sub-grade with complete replacement.  Where there is only a gravel lot and a paved one is needed, this category shall be used</t>
        </r>
      </text>
    </comment>
    <comment ref="C154" authorId="0" shapeId="0" xr:uid="{00000000-0006-0000-0200-000074010000}">
      <text>
        <r>
          <rPr>
            <b/>
            <sz val="9"/>
            <color indexed="81"/>
            <rFont val="Tahoma"/>
            <family val="2"/>
          </rPr>
          <t>Concrete only or needs to be concrete. Apply to surface area.</t>
        </r>
      </text>
    </comment>
    <comment ref="E154" authorId="0" shapeId="0" xr:uid="{00000000-0006-0000-0200-000075010000}">
      <text>
        <r>
          <rPr>
            <b/>
            <sz val="9"/>
            <color indexed="81"/>
            <rFont val="Tahoma"/>
            <family val="2"/>
          </rPr>
          <t xml:space="preserve">Indicate square footage of walks and plazas. </t>
        </r>
      </text>
    </comment>
    <comment ref="H154" authorId="1" shapeId="0" xr:uid="{83279BF8-FC11-45AA-90C6-2DBE5F4AA309}">
      <text>
        <r>
          <rPr>
            <b/>
            <sz val="9"/>
            <color indexed="81"/>
            <rFont val="Tahoma"/>
            <family val="2"/>
          </rPr>
          <t>Minor cracking observed, patch and seal</t>
        </r>
        <r>
          <rPr>
            <sz val="9"/>
            <color indexed="81"/>
            <rFont val="Tahoma"/>
            <family val="2"/>
          </rPr>
          <t xml:space="preserve">
</t>
        </r>
      </text>
    </comment>
    <comment ref="J154" authorId="1" shapeId="0" xr:uid="{488527E7-33AB-42AD-BBAA-DAA5CE69457C}">
      <text>
        <r>
          <rPr>
            <b/>
            <sz val="9"/>
            <color indexed="81"/>
            <rFont val="Tahoma"/>
            <family val="2"/>
          </rPr>
          <t>Cracking as a result of heaving</t>
        </r>
        <r>
          <rPr>
            <sz val="9"/>
            <color indexed="81"/>
            <rFont val="Tahoma"/>
            <family val="2"/>
          </rPr>
          <t xml:space="preserve">
</t>
        </r>
      </text>
    </comment>
    <comment ref="L154" authorId="0" shapeId="0" xr:uid="{00000000-0006-0000-0200-000076010000}">
      <text>
        <r>
          <rPr>
            <b/>
            <sz val="9"/>
            <color indexed="81"/>
            <rFont val="Tahoma"/>
            <family val="2"/>
          </rPr>
          <t>Sections are broken with differential settlement requiring the removal of the effected panels and replacement.</t>
        </r>
      </text>
    </comment>
    <comment ref="N154" authorId="0" shapeId="0" xr:uid="{00000000-0006-0000-0200-000077010000}">
      <text>
        <r>
          <rPr>
            <b/>
            <sz val="9"/>
            <color indexed="81"/>
            <rFont val="Tahoma"/>
            <family val="2"/>
          </rPr>
          <t>Not only are sections of the concrete broken, but there is evidence of settlement surrounding the walk requiring removal through sub-grade and replacement. Where there is no concrete walk, but one is needed, this category shall be used.</t>
        </r>
      </text>
    </comment>
    <comment ref="P154" authorId="0" shapeId="0" xr:uid="{00000000-0006-0000-0200-000073010000}">
      <text>
        <r>
          <rPr>
            <b/>
            <sz val="9"/>
            <color indexed="81"/>
            <rFont val="Tahoma"/>
            <family val="2"/>
          </rPr>
          <t>Not only are sections of the concrete broken, but there is evidence of settlement surrounding the walk requiring removal through sub-grade and replacement.  Where there is no concrete walk, but one is needed, this category shall be used</t>
        </r>
      </text>
    </comment>
    <comment ref="C155" authorId="0" shapeId="0" xr:uid="{00000000-0006-0000-0200-000079010000}">
      <text>
        <r>
          <rPr>
            <b/>
            <sz val="9"/>
            <color indexed="81"/>
            <rFont val="Tahoma"/>
            <family val="2"/>
          </rPr>
          <t>Chain-link fencing. Apply to LF of fence.</t>
        </r>
      </text>
    </comment>
    <comment ref="E155" authorId="0" shapeId="0" xr:uid="{00000000-0006-0000-0200-00007A010000}">
      <text>
        <r>
          <rPr>
            <b/>
            <sz val="9"/>
            <color indexed="81"/>
            <rFont val="Tahoma"/>
            <family val="2"/>
          </rPr>
          <t xml:space="preserve">Indicate length of fencing. Assuming 6' high chain-link. </t>
        </r>
      </text>
    </comment>
    <comment ref="H155" authorId="1" shapeId="0" xr:uid="{319FC79F-34EC-4402-BF18-AA2ED5558A06}">
      <text>
        <r>
          <rPr>
            <b/>
            <sz val="9"/>
            <color indexed="81"/>
            <rFont val="Tahoma"/>
            <family val="2"/>
          </rPr>
          <t xml:space="preserve">Chain link or couplers damaged 
</t>
        </r>
      </text>
    </comment>
    <comment ref="J155" authorId="1" shapeId="0" xr:uid="{233D0A6F-D574-4D02-A697-A0A34FD91ACB}">
      <text>
        <r>
          <rPr>
            <b/>
            <sz val="9"/>
            <color indexed="81"/>
            <rFont val="Tahoma"/>
            <family val="2"/>
          </rPr>
          <t>The fence fabric is damaged and needs to be replaced.</t>
        </r>
      </text>
    </comment>
    <comment ref="L155" authorId="0" shapeId="0" xr:uid="{00000000-0006-0000-0200-00007B010000}">
      <text>
        <r>
          <rPr>
            <b/>
            <sz val="9"/>
            <color indexed="81"/>
            <rFont val="Tahoma"/>
            <family val="2"/>
          </rPr>
          <t>Section of fence is damaged requiring replacement</t>
        </r>
      </text>
    </comment>
    <comment ref="N155" authorId="0" shapeId="0" xr:uid="{00000000-0006-0000-0200-00007C010000}">
      <text>
        <r>
          <rPr>
            <b/>
            <sz val="9"/>
            <color indexed="81"/>
            <rFont val="Tahoma"/>
            <family val="2"/>
          </rPr>
          <t>The fencing has lost its structural integrity and is beyond repair.</t>
        </r>
      </text>
    </comment>
    <comment ref="P155" authorId="0" shapeId="0" xr:uid="{00000000-0006-0000-0200-000078010000}">
      <text>
        <r>
          <rPr>
            <b/>
            <sz val="9"/>
            <color indexed="81"/>
            <rFont val="Tahoma"/>
            <family val="2"/>
          </rPr>
          <t>The fencing has lost its structural integrity and is beyond repair.</t>
        </r>
      </text>
    </comment>
    <comment ref="C156" authorId="0" shapeId="0" xr:uid="{00000000-0006-0000-0200-00007E010000}">
      <text>
        <r>
          <rPr>
            <b/>
            <sz val="9"/>
            <color indexed="81"/>
            <rFont val="Tahoma"/>
            <family val="2"/>
          </rPr>
          <t>Irrigation systems. Other landscape or field items should be included in "Other" category at bottom of assessment form. Apply to landscape area.</t>
        </r>
      </text>
    </comment>
    <comment ref="E156" authorId="0" shapeId="0" xr:uid="{00000000-0006-0000-0200-00007F010000}">
      <text>
        <r>
          <rPr>
            <b/>
            <sz val="9"/>
            <color indexed="81"/>
            <rFont val="Tahoma"/>
            <family val="2"/>
          </rPr>
          <t xml:space="preserve">Indicate square footage of landscaped area served (including grass areas). </t>
        </r>
      </text>
    </comment>
    <comment ref="H156" authorId="1" shapeId="0" xr:uid="{8437310A-1BC6-4DBF-9C4D-44ED030DC6B2}">
      <text>
        <r>
          <rPr>
            <b/>
            <sz val="9"/>
            <color indexed="81"/>
            <rFont val="Tahoma"/>
            <family val="2"/>
          </rPr>
          <t>Watering heads require replacement</t>
        </r>
      </text>
    </comment>
    <comment ref="J156" authorId="1" shapeId="0" xr:uid="{03E8D98D-87AA-4687-ADCD-0662FD27AB35}">
      <text>
        <r>
          <rPr>
            <b/>
            <sz val="9"/>
            <color indexed="81"/>
            <rFont val="Tahoma"/>
            <family val="2"/>
          </rPr>
          <t xml:space="preserve">Sections of water lines are damaged requiring section to be replaced. </t>
        </r>
        <r>
          <rPr>
            <sz val="9"/>
            <color indexed="81"/>
            <rFont val="Tahoma"/>
            <family val="2"/>
          </rPr>
          <t xml:space="preserve">
</t>
        </r>
      </text>
    </comment>
    <comment ref="L156" authorId="1" shapeId="0" xr:uid="{68710D6A-EAA6-4D64-8013-69EFF6D20E65}">
      <text>
        <r>
          <rPr>
            <b/>
            <sz val="9"/>
            <color indexed="81"/>
            <rFont val="Tahoma"/>
            <family val="2"/>
          </rPr>
          <t xml:space="preserve">Sections are not balanced correctly </t>
        </r>
        <r>
          <rPr>
            <sz val="9"/>
            <color indexed="81"/>
            <rFont val="Tahoma"/>
            <family val="2"/>
          </rPr>
          <t xml:space="preserve">
</t>
        </r>
      </text>
    </comment>
    <comment ref="N156" authorId="0" shapeId="0" xr:uid="{00000000-0006-0000-0200-000080010000}">
      <text>
        <r>
          <rPr>
            <b/>
            <sz val="9"/>
            <color indexed="81"/>
            <rFont val="Tahoma"/>
            <family val="2"/>
          </rPr>
          <t xml:space="preserve">Irrigation system is dysfunctional and beyond repair.
</t>
        </r>
      </text>
    </comment>
    <comment ref="P156" authorId="0" shapeId="0" xr:uid="{00000000-0006-0000-0200-00007D010000}">
      <text>
        <r>
          <rPr>
            <b/>
            <sz val="9"/>
            <color indexed="81"/>
            <rFont val="Tahoma"/>
            <family val="2"/>
          </rPr>
          <t xml:space="preserve">Irrigation system is dysfunctional and beyond repair
</t>
        </r>
      </text>
    </comment>
    <comment ref="D158" authorId="0" shapeId="0" xr:uid="{00000000-0006-0000-0200-000082010000}">
      <text>
        <r>
          <rPr>
            <b/>
            <sz val="9"/>
            <color indexed="81"/>
            <rFont val="Tahoma"/>
            <family val="2"/>
          </rPr>
          <t>Assumes 4" line to building. Wells should be placed in "Other" category at bottom of form. Apply to surface area.</t>
        </r>
      </text>
    </comment>
    <comment ref="N158" authorId="0" shapeId="0" xr:uid="{00000000-0006-0000-0200-000083010000}">
      <text>
        <r>
          <rPr>
            <b/>
            <sz val="9"/>
            <color indexed="81"/>
            <rFont val="Tahoma"/>
            <family val="2"/>
          </rPr>
          <t xml:space="preserve">A portion of the line has lost its structural integrity and requires replacement.
</t>
        </r>
      </text>
    </comment>
    <comment ref="P158" authorId="0" shapeId="0" xr:uid="{00000000-0006-0000-0200-000081010000}">
      <text>
        <r>
          <rPr>
            <b/>
            <sz val="9"/>
            <color indexed="81"/>
            <rFont val="Tahoma"/>
            <family val="2"/>
          </rPr>
          <t xml:space="preserve">A portion of the line has lost its structural integrity and requires replacement
</t>
        </r>
      </text>
    </comment>
    <comment ref="D159" authorId="0" shapeId="0" xr:uid="{00000000-0006-0000-0200-000085010000}">
      <text>
        <r>
          <rPr>
            <b/>
            <sz val="9"/>
            <color indexed="81"/>
            <rFont val="Tahoma"/>
            <family val="2"/>
          </rPr>
          <t>Assumes 6" line to building.  Wells and holding tanks should be placed in "Other" category at bottom of form. Apply to surface area.</t>
        </r>
      </text>
    </comment>
    <comment ref="N159" authorId="0" shapeId="0" xr:uid="{00000000-0006-0000-0200-000086010000}">
      <text>
        <r>
          <rPr>
            <b/>
            <sz val="9"/>
            <color indexed="81"/>
            <rFont val="Tahoma"/>
            <family val="2"/>
          </rPr>
          <t>A portion of the line has lost its structural integrity and requires replacement.</t>
        </r>
      </text>
    </comment>
    <comment ref="P159" authorId="0" shapeId="0" xr:uid="{00000000-0006-0000-0200-000084010000}">
      <text>
        <r>
          <rPr>
            <b/>
            <sz val="9"/>
            <color indexed="81"/>
            <rFont val="Tahoma"/>
            <family val="2"/>
          </rPr>
          <t xml:space="preserve">A portion of the line has lost its structural integrity and requires replacement
</t>
        </r>
      </text>
    </comment>
    <comment ref="C160" authorId="0" shapeId="0" xr:uid="{00000000-0006-0000-0200-000088010000}">
      <text>
        <r>
          <rPr>
            <b/>
            <sz val="9"/>
            <color indexed="81"/>
            <rFont val="Tahoma"/>
            <family val="2"/>
          </rPr>
          <t xml:space="preserve">Apply to surface area. Lines only.  Septic fields, tanks, etc. should be placed in "Other" category at bottom of form. </t>
        </r>
      </text>
    </comment>
    <comment ref="N160" authorId="0" shapeId="0" xr:uid="{00000000-0006-0000-0200-000089010000}">
      <text>
        <r>
          <rPr>
            <b/>
            <sz val="9"/>
            <color indexed="81"/>
            <rFont val="Tahoma"/>
            <family val="2"/>
          </rPr>
          <t>A portion of the line has lost its structural integrity and requires replacement.</t>
        </r>
      </text>
    </comment>
    <comment ref="P160" authorId="0" shapeId="0" xr:uid="{00000000-0006-0000-0200-000087010000}">
      <text>
        <r>
          <rPr>
            <b/>
            <sz val="9"/>
            <color indexed="81"/>
            <rFont val="Tahoma"/>
            <family val="2"/>
          </rPr>
          <t>A portion of the line has lost its structural integrity and requires replacement</t>
        </r>
      </text>
    </comment>
    <comment ref="C161" authorId="0" shapeId="0" xr:uid="{00000000-0006-0000-0200-00008B010000}">
      <text>
        <r>
          <rPr>
            <b/>
            <sz val="9"/>
            <color indexed="81"/>
            <rFont val="Tahoma"/>
            <family val="2"/>
          </rPr>
          <t xml:space="preserve">Apply to surface area. Assumes underground system.  For surface runoff system, apply to "Other" category at bottom of form. </t>
        </r>
      </text>
    </comment>
    <comment ref="H161" authorId="0" shapeId="0" xr:uid="{00000000-0006-0000-0200-00008C010000}">
      <text>
        <r>
          <rPr>
            <b/>
            <sz val="9"/>
            <color indexed="81"/>
            <rFont val="Tahoma"/>
            <family val="2"/>
          </rPr>
          <t>Catch basins have lost their integrity or are out of alignment.  Remove catch basin, reset, and realign.</t>
        </r>
      </text>
    </comment>
    <comment ref="J161" authorId="0" shapeId="0" xr:uid="{00000000-0006-0000-0200-00008D010000}">
      <text>
        <r>
          <rPr>
            <b/>
            <sz val="9"/>
            <color indexed="81"/>
            <rFont val="Tahoma"/>
            <family val="2"/>
          </rPr>
          <t>Storm sewer piping is dysfunctional or damaged. Remove and replace.</t>
        </r>
      </text>
    </comment>
    <comment ref="L161" authorId="0" shapeId="0" xr:uid="{00000000-0006-0000-0200-00008E010000}">
      <text>
        <r>
          <rPr>
            <b/>
            <sz val="9"/>
            <color indexed="81"/>
            <rFont val="Tahoma"/>
            <family val="2"/>
          </rPr>
          <t xml:space="preserve">Detention/retention has failed, but piping and catch basins are functional. Replace detention/retention system.
</t>
        </r>
      </text>
    </comment>
    <comment ref="N161" authorId="0" shapeId="0" xr:uid="{00000000-0006-0000-0200-00008F010000}">
      <text>
        <r>
          <rPr>
            <b/>
            <sz val="9"/>
            <color indexed="81"/>
            <rFont val="Tahoma"/>
            <family val="2"/>
          </rPr>
          <t>The entire underground system has failed and requires removal and replacement of all components.</t>
        </r>
      </text>
    </comment>
    <comment ref="P161" authorId="0" shapeId="0" xr:uid="{00000000-0006-0000-0200-00008A010000}">
      <text>
        <r>
          <rPr>
            <b/>
            <sz val="9"/>
            <color indexed="81"/>
            <rFont val="Tahoma"/>
            <family val="2"/>
          </rPr>
          <t>The entire underground system has failed and requires removal and replacement of all components</t>
        </r>
      </text>
    </comment>
    <comment ref="C162" authorId="2" shapeId="0" xr:uid="{00000000-0006-0000-0200-000091010000}">
      <text>
        <r>
          <rPr>
            <b/>
            <sz val="9"/>
            <color indexed="81"/>
            <rFont val="Tahoma"/>
            <family val="2"/>
          </rPr>
          <t>Apply to surface area.</t>
        </r>
      </text>
    </comment>
    <comment ref="N162" authorId="0" shapeId="0" xr:uid="{00000000-0006-0000-0200-000092010000}">
      <text>
        <r>
          <rPr>
            <b/>
            <sz val="9"/>
            <color indexed="81"/>
            <rFont val="Tahoma"/>
            <family val="2"/>
          </rPr>
          <t xml:space="preserve">A portion of the line has lost its structural integrity and requires replacement.
</t>
        </r>
      </text>
    </comment>
    <comment ref="P162" authorId="0" shapeId="0" xr:uid="{00000000-0006-0000-0200-000090010000}">
      <text>
        <r>
          <rPr>
            <b/>
            <sz val="9"/>
            <color indexed="81"/>
            <rFont val="Tahoma"/>
            <family val="2"/>
          </rPr>
          <t xml:space="preserve">A portion of the line has lost its structural integrity and requires replacement
</t>
        </r>
      </text>
    </comment>
    <comment ref="C163" authorId="2" shapeId="0" xr:uid="{00000000-0006-0000-0200-000094010000}">
      <text>
        <r>
          <rPr>
            <b/>
            <sz val="9"/>
            <color indexed="81"/>
            <rFont val="Tahoma"/>
            <family val="2"/>
          </rPr>
          <t>Apply to surface area.</t>
        </r>
      </text>
    </comment>
    <comment ref="N163" authorId="0" shapeId="0" xr:uid="{00000000-0006-0000-0200-000095010000}">
      <text>
        <r>
          <rPr>
            <b/>
            <sz val="9"/>
            <color indexed="81"/>
            <rFont val="Tahoma"/>
            <family val="2"/>
          </rPr>
          <t xml:space="preserve">A portion of the line has lost its structural integrity and requires replacement.
</t>
        </r>
      </text>
    </comment>
    <comment ref="P163" authorId="0" shapeId="0" xr:uid="{00000000-0006-0000-0200-000093010000}">
      <text>
        <r>
          <rPr>
            <b/>
            <sz val="9"/>
            <color indexed="81"/>
            <rFont val="Tahoma"/>
            <family val="2"/>
          </rPr>
          <t xml:space="preserve">A portion of the line has lost its structural integrity and requires replacement
</t>
        </r>
      </text>
    </comment>
    <comment ref="C164" authorId="0" shapeId="0" xr:uid="{00000000-0006-0000-0200-000097010000}">
      <text>
        <r>
          <rPr>
            <b/>
            <sz val="9"/>
            <color indexed="81"/>
            <rFont val="Tahoma"/>
            <family val="2"/>
          </rPr>
          <t xml:space="preserve">Apply to surface area.
Natural gas lines. </t>
        </r>
      </text>
    </comment>
    <comment ref="N164" authorId="0" shapeId="0" xr:uid="{00000000-0006-0000-0200-000098010000}">
      <text>
        <r>
          <rPr>
            <b/>
            <sz val="9"/>
            <color indexed="81"/>
            <rFont val="Tahoma"/>
            <family val="2"/>
          </rPr>
          <t>A portion of the line has lost its structural integrity and requires replacement.</t>
        </r>
      </text>
    </comment>
    <comment ref="P164" authorId="0" shapeId="0" xr:uid="{00000000-0006-0000-0200-000096010000}">
      <text>
        <r>
          <rPr>
            <b/>
            <sz val="9"/>
            <color indexed="81"/>
            <rFont val="Tahoma"/>
            <family val="2"/>
          </rPr>
          <t>A portion of the line has lost its structural integrity and requires replacement</t>
        </r>
      </text>
    </comment>
    <comment ref="D167" authorId="0" shapeId="0" xr:uid="{00000000-0006-0000-0200-00009A010000}">
      <text>
        <r>
          <rPr>
            <b/>
            <sz val="9"/>
            <color indexed="81"/>
            <rFont val="Tahoma"/>
            <family val="2"/>
          </rPr>
          <t>Assumes the private portion of the service lines typically underground after the meter or transformer. Apply to surface area.</t>
        </r>
      </text>
    </comment>
    <comment ref="L167" authorId="0" shapeId="0" xr:uid="{00000000-0006-0000-0200-00009B010000}">
      <text>
        <r>
          <rPr>
            <b/>
            <sz val="9"/>
            <color indexed="81"/>
            <rFont val="Tahoma"/>
            <family val="2"/>
          </rPr>
          <t>The transformer no longer functions and is in need of replacement.</t>
        </r>
      </text>
    </comment>
    <comment ref="N167" authorId="0" shapeId="0" xr:uid="{00000000-0006-0000-0200-00009C010000}">
      <text>
        <r>
          <rPr>
            <b/>
            <sz val="9"/>
            <color indexed="81"/>
            <rFont val="Tahoma"/>
            <family val="2"/>
          </rPr>
          <t>The service has failed and is beyond repair or is undersized requiring replacement of transformer and service lines.</t>
        </r>
      </text>
    </comment>
    <comment ref="P167" authorId="0" shapeId="0" xr:uid="{00000000-0006-0000-0200-000099010000}">
      <text>
        <r>
          <rPr>
            <b/>
            <sz val="9"/>
            <color indexed="81"/>
            <rFont val="Tahoma"/>
            <family val="2"/>
          </rPr>
          <t>The service has failed and is beyond repair or is undersized requiring replacement of transformer and service lines</t>
        </r>
      </text>
    </comment>
    <comment ref="D168" authorId="2" shapeId="0" xr:uid="{00000000-0006-0000-0200-00009E010000}">
      <text>
        <r>
          <rPr>
            <b/>
            <sz val="9"/>
            <color indexed="81"/>
            <rFont val="Tahoma"/>
            <family val="2"/>
          </rPr>
          <t>Apply to generator quantity.</t>
        </r>
      </text>
    </comment>
    <comment ref="H168" authorId="0" shapeId="0" xr:uid="{00000000-0006-0000-0200-00009F010000}">
      <text>
        <r>
          <rPr>
            <b/>
            <sz val="9"/>
            <color indexed="81"/>
            <rFont val="Tahoma"/>
            <family val="2"/>
          </rPr>
          <t>The generator needs to be tuned up.</t>
        </r>
      </text>
    </comment>
    <comment ref="J168" authorId="0" shapeId="0" xr:uid="{00000000-0006-0000-0200-0000A0010000}">
      <text>
        <r>
          <rPr>
            <b/>
            <sz val="9"/>
            <color indexed="81"/>
            <rFont val="Tahoma"/>
            <family val="2"/>
          </rPr>
          <t>The valves or other engine parts need to be repaired or replaced and then a tune up.</t>
        </r>
      </text>
    </comment>
    <comment ref="L168" authorId="0" shapeId="0" xr:uid="{00000000-0006-0000-0200-0000A1010000}">
      <text>
        <r>
          <rPr>
            <b/>
            <sz val="9"/>
            <color indexed="81"/>
            <rFont val="Tahoma"/>
            <family val="2"/>
          </rPr>
          <t>Generator is non-functional or under-sized.</t>
        </r>
      </text>
    </comment>
    <comment ref="N168" authorId="0" shapeId="0" xr:uid="{00000000-0006-0000-0200-0000A2010000}">
      <text>
        <r>
          <rPr>
            <b/>
            <sz val="9"/>
            <color indexed="81"/>
            <rFont val="Tahoma"/>
            <family val="2"/>
          </rPr>
          <t>The system (generator, tank, services lines connected lighting system) is non-functional or under-sized.</t>
        </r>
      </text>
    </comment>
    <comment ref="P168" authorId="0" shapeId="0" xr:uid="{00000000-0006-0000-0200-00009D010000}">
      <text>
        <r>
          <rPr>
            <b/>
            <sz val="9"/>
            <color indexed="81"/>
            <rFont val="Tahoma"/>
            <family val="2"/>
          </rPr>
          <t>The system (generator, tank, services lines connected lighting system) is non-functional or under-sized</t>
        </r>
      </text>
    </comment>
    <comment ref="C169" authorId="6" shapeId="0" xr:uid="{D8857CEE-A667-43B5-B8E6-7FE2FA153A4A}">
      <text>
        <t xml:space="preserve">[Threaded comment]
Your version of Excel allows you to read this threaded comment; however, any edits to it will get removed if the file is opened in a newer version of Excel. Learn more: https://go.microsoft.com/fwlink/?linkid=870924
Comment:
    This was called "exterior site (pole) lighting here but labeled "site lighting" in the PCA cost table.  Changed to the simplier language in the PCA cost table
</t>
      </text>
    </comment>
    <comment ref="E169" authorId="3" shapeId="0" xr:uid="{CD2A11BE-135B-48FB-80DA-98F3A6980E65}">
      <text>
        <r>
          <rPr>
            <b/>
            <sz val="9"/>
            <color indexed="81"/>
            <rFont val="Tahoma"/>
            <family val="2"/>
          </rPr>
          <t>Tiffany Hammond:</t>
        </r>
        <r>
          <rPr>
            <sz val="9"/>
            <color indexed="81"/>
            <rFont val="Tahoma"/>
            <family val="2"/>
          </rPr>
          <t xml:space="preserve">
Enter total number of exterior site lights</t>
        </r>
      </text>
    </comment>
    <comment ref="H169" authorId="1" shapeId="0" xr:uid="{2D948013-5B13-4757-A1CF-E50981E9EF79}">
      <text>
        <r>
          <rPr>
            <b/>
            <sz val="9"/>
            <color indexed="81"/>
            <rFont val="Tahoma"/>
            <family val="2"/>
          </rPr>
          <t>The fixtures are nonfunctional and require replacement.</t>
        </r>
      </text>
    </comment>
    <comment ref="N169" authorId="0" shapeId="0" xr:uid="{00000000-0006-0000-0200-0000A5010000}">
      <text>
        <r>
          <rPr>
            <b/>
            <sz val="9"/>
            <color indexed="81"/>
            <rFont val="Tahoma"/>
            <family val="2"/>
          </rPr>
          <t>The fixtures, supports, and underground wiring need to be replaced.</t>
        </r>
      </text>
    </comment>
    <comment ref="P169" authorId="0" shapeId="0" xr:uid="{00000000-0006-0000-0200-0000A3010000}">
      <text>
        <r>
          <rPr>
            <b/>
            <sz val="9"/>
            <color indexed="81"/>
            <rFont val="Tahoma"/>
            <family val="2"/>
          </rPr>
          <t>The fixtures, supports, and underground wiring need to be replaced</t>
        </r>
      </text>
    </comment>
    <comment ref="C170" authorId="0" shapeId="0" xr:uid="{00000000-0006-0000-0200-0000A7010000}">
      <text>
        <r>
          <rPr>
            <b/>
            <sz val="9"/>
            <color indexed="81"/>
            <rFont val="Tahoma"/>
            <family val="2"/>
          </rPr>
          <t>Assumes low voltage lines underground.</t>
        </r>
      </text>
    </comment>
    <comment ref="N170" authorId="0" shapeId="0" xr:uid="{00000000-0006-0000-0200-0000A8010000}">
      <text>
        <r>
          <rPr>
            <b/>
            <sz val="9"/>
            <color indexed="81"/>
            <rFont val="Tahoma"/>
            <family val="2"/>
          </rPr>
          <t>Site cabling is inadequate or service is interrupted - replace cabling.</t>
        </r>
      </text>
    </comment>
    <comment ref="P170" authorId="0" shapeId="0" xr:uid="{00000000-0006-0000-0200-0000A6010000}">
      <text>
        <r>
          <rPr>
            <b/>
            <sz val="9"/>
            <color indexed="81"/>
            <rFont val="Tahoma"/>
            <family val="2"/>
          </rPr>
          <t>Site cabling is inadequate or service is interrupted - replace cabling</t>
        </r>
      </text>
    </comment>
    <comment ref="C174" authorId="0" shapeId="0" xr:uid="{00000000-0006-0000-0200-0000A9010000}">
      <text>
        <r>
          <rPr>
            <b/>
            <sz val="9"/>
            <color indexed="81"/>
            <rFont val="Tahoma"/>
            <family val="2"/>
          </rPr>
          <t>For assessment professional to hand enter for specialty items and systems that do not fit into categories above</t>
        </r>
      </text>
    </comment>
    <comment ref="C210" authorId="3" shapeId="0" xr:uid="{71F9ADBE-4E19-4A7F-A8CD-64179B7E39DC}">
      <text>
        <r>
          <rPr>
            <sz val="9"/>
            <color indexed="81"/>
            <rFont val="Tahoma"/>
            <family val="2"/>
          </rPr>
          <t xml:space="preserve">Describe in detail any safety or security improvements needed at this site. </t>
        </r>
      </text>
    </comment>
    <comment ref="C223" authorId="3" shapeId="0" xr:uid="{225E88C1-A4DB-41A4-AA3B-38FA5E751F40}">
      <text>
        <r>
          <rPr>
            <sz val="9"/>
            <color indexed="81"/>
            <rFont val="Tahoma"/>
            <family val="2"/>
          </rPr>
          <t>Populated from the Portable Classrooms fields in the Renovations, Additions &amp; Prtbls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Rose, Scott</author>
    <author>Scott Newell</author>
  </authors>
  <commentList>
    <comment ref="C10" authorId="0" shapeId="0" xr:uid="{00000000-0006-0000-0300-000001000000}">
      <text>
        <r>
          <rPr>
            <b/>
            <sz val="9"/>
            <color indexed="81"/>
            <rFont val="Tahoma"/>
            <family val="2"/>
          </rPr>
          <t>Standard spread and strip / perimeter footings</t>
        </r>
      </text>
    </comment>
    <comment ref="F10" authorId="0" shapeId="0" xr:uid="{00000000-0006-0000-0300-000002000000}">
      <text>
        <r>
          <rPr>
            <b/>
            <sz val="9"/>
            <color indexed="81"/>
            <rFont val="Tahoma"/>
            <family val="2"/>
          </rPr>
          <t>Minor cracking observed - fill and seal the cracks to prevent water intrusion</t>
        </r>
      </text>
    </comment>
    <comment ref="J10" authorId="0" shapeId="0" xr:uid="{00000000-0006-0000-0300-000003000000}">
      <text>
        <r>
          <rPr>
            <b/>
            <sz val="9"/>
            <color indexed="81"/>
            <rFont val="Tahoma"/>
            <family val="2"/>
          </rPr>
          <t>Settlement observed in surrounding conditions - requiring stabilization of the foundation, sub-grade adjustment, and re-enforcement of the foundation</t>
        </r>
      </text>
    </comment>
    <comment ref="C11" authorId="0" shapeId="0" xr:uid="{00000000-0006-0000-0300-000004000000}">
      <text>
        <r>
          <rPr>
            <b/>
            <sz val="9"/>
            <color indexed="81"/>
            <rFont val="Tahoma"/>
            <family val="2"/>
          </rPr>
          <t>Pilings or other extended foundation systems that overcome non-standard soil conditions</t>
        </r>
      </text>
    </comment>
    <comment ref="F11" authorId="0" shapeId="0" xr:uid="{00000000-0006-0000-0300-000005000000}">
      <text>
        <r>
          <rPr>
            <b/>
            <sz val="9"/>
            <color indexed="81"/>
            <rFont val="Tahoma"/>
            <family val="2"/>
          </rPr>
          <t>Minor cracking observed - fill and seal the cracks to prevent water intrusion</t>
        </r>
      </text>
    </comment>
    <comment ref="J11" authorId="0" shapeId="0" xr:uid="{00000000-0006-0000-0300-000006000000}">
      <text>
        <r>
          <rPr>
            <b/>
            <sz val="9"/>
            <color indexed="81"/>
            <rFont val="Tahoma"/>
            <family val="2"/>
          </rPr>
          <t>Settlement observed in surrounding conditions - requiring stabilization of the foundation, sub-grade adjustment, and re-enforcement of the foundation</t>
        </r>
      </text>
    </comment>
    <comment ref="C12" authorId="0" shapeId="0" xr:uid="{00000000-0006-0000-0300-000007000000}">
      <text>
        <r>
          <rPr>
            <b/>
            <sz val="9"/>
            <color indexed="81"/>
            <rFont val="Tahoma"/>
            <family val="2"/>
          </rPr>
          <t>Standard ground-set concrete slab.  If slab is elevated (i.e. has a crawl space or basement), apply conditions to B1010 instead</t>
        </r>
      </text>
    </comment>
    <comment ref="H12" authorId="0" shapeId="0" xr:uid="{00000000-0006-0000-0300-000008000000}">
      <text>
        <r>
          <rPr>
            <b/>
            <sz val="9"/>
            <color indexed="81"/>
            <rFont val="Tahoma"/>
            <family val="2"/>
          </rPr>
          <t>Separation cracks occurring requiring route and fill and patch</t>
        </r>
      </text>
    </comment>
    <comment ref="J12" authorId="0" shapeId="0" xr:uid="{00000000-0006-0000-0300-000009000000}">
      <text>
        <r>
          <rPr>
            <b/>
            <sz val="9"/>
            <color indexed="81"/>
            <rFont val="Tahoma"/>
            <family val="2"/>
          </rPr>
          <t>Differential settlement occurring - requires removal of section of slab, adjustment to sub-grade, and new infill</t>
        </r>
      </text>
    </comment>
    <comment ref="C15" authorId="0" shapeId="0" xr:uid="{00000000-0006-0000-0300-00000A000000}">
      <text>
        <r>
          <rPr>
            <b/>
            <sz val="9"/>
            <color indexed="81"/>
            <rFont val="Tahoma"/>
            <family val="2"/>
          </rPr>
          <t>Assumed as concrete walls with water-proofing on the exterior.  Includes only the structural portion and not the wall finishes</t>
        </r>
      </text>
    </comment>
    <comment ref="F15" authorId="0" shapeId="0" xr:uid="{00000000-0006-0000-0300-00000B000000}">
      <text>
        <r>
          <rPr>
            <b/>
            <sz val="9"/>
            <color indexed="81"/>
            <rFont val="Tahoma"/>
            <family val="2"/>
          </rPr>
          <t>Inadequate below grade venting is observed - cut in and add venting</t>
        </r>
      </text>
    </comment>
    <comment ref="H15" authorId="0" shapeId="0" xr:uid="{00000000-0006-0000-0300-00000C000000}">
      <text>
        <r>
          <rPr>
            <b/>
            <sz val="9"/>
            <color indexed="81"/>
            <rFont val="Tahoma"/>
            <family val="2"/>
          </rPr>
          <t>Wall is cracked and spalling requiring route and fill and patch and re-finish</t>
        </r>
      </text>
    </comment>
    <comment ref="J15" authorId="0" shapeId="0" xr:uid="{00000000-0006-0000-0300-00000D000000}">
      <text>
        <r>
          <rPr>
            <b/>
            <sz val="9"/>
            <color indexed="81"/>
            <rFont val="Tahoma"/>
            <family val="2"/>
          </rPr>
          <t>Wall is cracked with evidence of water intrusion.  Repairs to be implemented and water barrier to be applied to be applied</t>
        </r>
      </text>
    </comment>
    <comment ref="C18" authorId="0" shapeId="0" xr:uid="{00000000-0006-0000-0300-00000E000000}">
      <text>
        <r>
          <rPr>
            <b/>
            <sz val="9"/>
            <color indexed="81"/>
            <rFont val="Tahoma"/>
            <family val="2"/>
          </rPr>
          <t>A suspended floor including the structural members and floor construction, but not including the actual finish</t>
        </r>
      </text>
    </comment>
    <comment ref="H18" authorId="0" shapeId="0" xr:uid="{00000000-0006-0000-0300-00000F000000}">
      <text>
        <r>
          <rPr>
            <b/>
            <sz val="9"/>
            <color indexed="81"/>
            <rFont val="Tahoma"/>
            <family val="2"/>
          </rPr>
          <t>Deck lifting, settling, or uneven - appears related to the deck itself and not the structural support below - requires removal and replacement of deck</t>
        </r>
      </text>
    </comment>
    <comment ref="L18" authorId="0" shapeId="0" xr:uid="{00000000-0006-0000-0300-000010000000}">
      <text>
        <r>
          <rPr>
            <b/>
            <sz val="9"/>
            <color indexed="81"/>
            <rFont val="Tahoma"/>
            <family val="2"/>
          </rPr>
          <t>Visible evidence of a sagging or settled structure or depression in the floor line, requiring removal and replacement</t>
        </r>
      </text>
    </comment>
    <comment ref="N18" authorId="0" shapeId="0" xr:uid="{00000000-0006-0000-0300-000011000000}">
      <text>
        <r>
          <rPr>
            <b/>
            <sz val="9"/>
            <color indexed="81"/>
            <rFont val="Tahoma"/>
            <family val="2"/>
          </rPr>
          <t>Visible evidence of a sagging or settled structure or depression in the floor line, requiring removal and replacement</t>
        </r>
      </text>
    </comment>
    <comment ref="H19" authorId="0" shapeId="0" xr:uid="{00000000-0006-0000-0300-000012000000}">
      <text>
        <r>
          <rPr>
            <b/>
            <sz val="9"/>
            <color indexed="81"/>
            <rFont val="Tahoma"/>
            <family val="2"/>
          </rPr>
          <t>Deck lifting, settling, or uneven - appears related to the deck itself and not the structural support below - requires removal and replacement of deck</t>
        </r>
      </text>
    </comment>
    <comment ref="L19" authorId="0" shapeId="0" xr:uid="{00000000-0006-0000-0300-000013000000}">
      <text>
        <r>
          <rPr>
            <b/>
            <sz val="9"/>
            <color indexed="81"/>
            <rFont val="Tahoma"/>
            <family val="2"/>
          </rPr>
          <t>Visible evidence of a sagging or settled structure or depression in the floor line, requiring removal and replacement</t>
        </r>
      </text>
    </comment>
    <comment ref="N19" authorId="0" shapeId="0" xr:uid="{00000000-0006-0000-0300-000014000000}">
      <text>
        <r>
          <rPr>
            <b/>
            <sz val="9"/>
            <color indexed="81"/>
            <rFont val="Tahoma"/>
            <family val="2"/>
          </rPr>
          <t>Visible evidence of a sagging or settled structure or depression in the floor line, requiring removal and replacement</t>
        </r>
      </text>
    </comment>
    <comment ref="H20" authorId="0" shapeId="0" xr:uid="{00000000-0006-0000-0300-000015000000}">
      <text>
        <r>
          <rPr>
            <b/>
            <sz val="9"/>
            <color indexed="81"/>
            <rFont val="Tahoma"/>
            <family val="2"/>
          </rPr>
          <t>Deck lifting, settling, or uneven - appears related to the deck itself and not the structural support below - requires removal and replacement of deck</t>
        </r>
      </text>
    </comment>
    <comment ref="L20" authorId="0" shapeId="0" xr:uid="{00000000-0006-0000-0300-000016000000}">
      <text>
        <r>
          <rPr>
            <b/>
            <sz val="9"/>
            <color indexed="81"/>
            <rFont val="Tahoma"/>
            <family val="2"/>
          </rPr>
          <t>Visible evidence of a sagging or settled structure or depression in the floor line, requiring removal and replacement</t>
        </r>
      </text>
    </comment>
    <comment ref="N20" authorId="0" shapeId="0" xr:uid="{00000000-0006-0000-0300-000017000000}">
      <text>
        <r>
          <rPr>
            <b/>
            <sz val="9"/>
            <color indexed="81"/>
            <rFont val="Tahoma"/>
            <family val="2"/>
          </rPr>
          <t>Visible evidence of a sagging or settled structure or depression in the floor line, requiring removal and replacement</t>
        </r>
      </text>
    </comment>
    <comment ref="C21" authorId="0" shapeId="0" xr:uid="{00000000-0006-0000-0300-000018000000}">
      <text>
        <r>
          <rPr>
            <b/>
            <sz val="9"/>
            <color indexed="81"/>
            <rFont val="Tahoma"/>
            <family val="2"/>
          </rPr>
          <t>The roof structure referring to the supporting structure and the deck but excluding the roofing itself</t>
        </r>
      </text>
    </comment>
    <comment ref="J21" authorId="0" shapeId="0" xr:uid="{00000000-0006-0000-0300-000019000000}">
      <text>
        <r>
          <rPr>
            <b/>
            <sz val="9"/>
            <color indexed="81"/>
            <rFont val="Tahoma"/>
            <family val="2"/>
          </rPr>
          <t>Evidence of a spongy decking from water intrusion - replacing the deck but not the trusses</t>
        </r>
      </text>
    </comment>
    <comment ref="L21" authorId="0" shapeId="0" xr:uid="{00000000-0006-0000-0300-00001A000000}">
      <text>
        <r>
          <rPr>
            <b/>
            <sz val="9"/>
            <color indexed="81"/>
            <rFont val="Tahoma"/>
            <family val="2"/>
          </rPr>
          <t>Visible evidence of a sagging structure or depression in the roof line, requiring removal and replacement</t>
        </r>
      </text>
    </comment>
    <comment ref="N21" authorId="0" shapeId="0" xr:uid="{00000000-0006-0000-0300-00001B000000}">
      <text>
        <r>
          <rPr>
            <b/>
            <sz val="9"/>
            <color indexed="81"/>
            <rFont val="Tahoma"/>
            <family val="2"/>
          </rPr>
          <t>Visible evidence of a sagging structure or depression in the roof line, requiring removal and replacement</t>
        </r>
      </text>
    </comment>
    <comment ref="J22" authorId="0" shapeId="0" xr:uid="{00000000-0006-0000-0300-00001C000000}">
      <text>
        <r>
          <rPr>
            <b/>
            <sz val="9"/>
            <color indexed="81"/>
            <rFont val="Tahoma"/>
            <family val="2"/>
          </rPr>
          <t>Evidence of a flexing decking from water intrusion / rust - replacing the deck but not the trusses</t>
        </r>
      </text>
    </comment>
    <comment ref="L22" authorId="0" shapeId="0" xr:uid="{00000000-0006-0000-0300-00001D000000}">
      <text>
        <r>
          <rPr>
            <b/>
            <sz val="9"/>
            <color indexed="81"/>
            <rFont val="Tahoma"/>
            <family val="2"/>
          </rPr>
          <t>Visible evidence of a sagging structure or depression in the roof line, requiring removal and replacement</t>
        </r>
      </text>
    </comment>
    <comment ref="N22" authorId="0" shapeId="0" xr:uid="{00000000-0006-0000-0300-00001E000000}">
      <text>
        <r>
          <rPr>
            <b/>
            <sz val="9"/>
            <color indexed="81"/>
            <rFont val="Tahoma"/>
            <family val="2"/>
          </rPr>
          <t>Visible evidence of a sagging structure or depression in the roof line, requiring removal and replacement</t>
        </r>
      </text>
    </comment>
    <comment ref="J23" authorId="0" shapeId="0" xr:uid="{00000000-0006-0000-0300-00001F000000}">
      <text>
        <r>
          <rPr>
            <b/>
            <sz val="9"/>
            <color indexed="81"/>
            <rFont val="Tahoma"/>
            <family val="2"/>
          </rPr>
          <t>Evidence of a spongy / spalling deck from water intrusion - replacing the deck but not the beams</t>
        </r>
      </text>
    </comment>
    <comment ref="L23" authorId="0" shapeId="0" xr:uid="{00000000-0006-0000-0300-000020000000}">
      <text>
        <r>
          <rPr>
            <b/>
            <sz val="9"/>
            <color indexed="81"/>
            <rFont val="Tahoma"/>
            <family val="2"/>
          </rPr>
          <t>Visible evidence of a sagging structure or depression in the roof line, requiring removal and replacement</t>
        </r>
      </text>
    </comment>
    <comment ref="N23" authorId="0" shapeId="0" xr:uid="{00000000-0006-0000-0300-000021000000}">
      <text>
        <r>
          <rPr>
            <b/>
            <sz val="9"/>
            <color indexed="81"/>
            <rFont val="Tahoma"/>
            <family val="2"/>
          </rPr>
          <t>Visible evidence of a sagging structure or depression in the roof line, requiring removal and replacement</t>
        </r>
      </text>
    </comment>
    <comment ref="F25" authorId="0" shapeId="0" xr:uid="{1B49D249-8724-4845-9ECA-3331904AA4FB}">
      <text>
        <r>
          <rPr>
            <b/>
            <sz val="9"/>
            <color indexed="81"/>
            <rFont val="Tahoma"/>
            <family val="2"/>
          </rPr>
          <t>Surface is in tact but finish is deteriorated - paint</t>
        </r>
      </text>
    </comment>
    <comment ref="H25" authorId="0" shapeId="0" xr:uid="{7CBF4A9E-8E40-4BF6-8F1F-8EFEC1AF41F2}">
      <text>
        <r>
          <rPr>
            <b/>
            <sz val="9"/>
            <color indexed="81"/>
            <rFont val="Tahoma"/>
            <family val="2"/>
          </rPr>
          <t>Cracks visible - route and patch prior to painting</t>
        </r>
      </text>
    </comment>
    <comment ref="J25" authorId="0" shapeId="0" xr:uid="{00000000-0006-0000-0300-000023000000}">
      <text>
        <r>
          <rPr>
            <b/>
            <sz val="9"/>
            <color indexed="81"/>
            <rFont val="Tahoma"/>
            <family val="2"/>
          </rPr>
          <t>Cracks visible - route and patch prior to painting</t>
        </r>
      </text>
    </comment>
    <comment ref="F26" authorId="0" shapeId="0" xr:uid="{ED0133E4-DD49-47DE-AFB4-9BFC60AC6796}">
      <text>
        <r>
          <rPr>
            <b/>
            <sz val="9"/>
            <color indexed="81"/>
            <rFont val="Tahoma"/>
            <family val="2"/>
          </rPr>
          <t>Surface is in tact but finish is deteriorated - paint</t>
        </r>
      </text>
    </comment>
    <comment ref="H26" authorId="0" shapeId="0" xr:uid="{CDA7E601-D577-4AF5-945A-4A4C77851D62}">
      <text>
        <r>
          <rPr>
            <b/>
            <sz val="9"/>
            <color indexed="81"/>
            <rFont val="Tahoma"/>
            <family val="2"/>
          </rPr>
          <t>Some blocks are damaged, needing patch and repair prior to sealing or painting</t>
        </r>
      </text>
    </comment>
    <comment ref="J26" authorId="0" shapeId="0" xr:uid="{00000000-0006-0000-0300-000025000000}">
      <text>
        <r>
          <rPr>
            <b/>
            <sz val="9"/>
            <color indexed="81"/>
            <rFont val="Tahoma"/>
            <family val="2"/>
          </rPr>
          <t>Some blocks are damaged, needing patch and repair prior to sealing or painting</t>
        </r>
      </text>
    </comment>
    <comment ref="L26" authorId="0" shapeId="0" xr:uid="{00000000-0006-0000-0300-000026000000}">
      <text>
        <r>
          <rPr>
            <b/>
            <sz val="9"/>
            <color indexed="81"/>
            <rFont val="Tahoma"/>
            <family val="2"/>
          </rPr>
          <t>There is evidence of settling, failure, or a compromised structure that requires removal and replacement</t>
        </r>
      </text>
    </comment>
    <comment ref="N26" authorId="0" shapeId="0" xr:uid="{00000000-0006-0000-0300-000027000000}">
      <text>
        <r>
          <rPr>
            <b/>
            <sz val="9"/>
            <color indexed="81"/>
            <rFont val="Tahoma"/>
            <family val="2"/>
          </rPr>
          <t>There is evidence of settling, failure, or a compromised structure that requires removal and replacement</t>
        </r>
      </text>
    </comment>
    <comment ref="F27" authorId="0" shapeId="0" xr:uid="{0909E3C0-5DCA-462F-AE69-7DEF75392708}">
      <text>
        <r>
          <rPr>
            <b/>
            <sz val="9"/>
            <color indexed="81"/>
            <rFont val="Tahoma"/>
            <family val="2"/>
          </rPr>
          <t>Surface is in tact but finish is deteriorated - paint</t>
        </r>
      </text>
    </comment>
    <comment ref="H27" authorId="0" shapeId="0" xr:uid="{F7653951-7962-4D5A-99C8-D5898ADFEE9E}">
      <text>
        <r>
          <rPr>
            <b/>
            <sz val="9"/>
            <color indexed="81"/>
            <rFont val="Tahoma"/>
            <family val="2"/>
          </rPr>
          <t>A number of panels are damaged, requiring patch and repair prior to re-painting</t>
        </r>
      </text>
    </comment>
    <comment ref="J27" authorId="0" shapeId="0" xr:uid="{00000000-0006-0000-0300-000029000000}">
      <text>
        <r>
          <rPr>
            <b/>
            <sz val="9"/>
            <color indexed="81"/>
            <rFont val="Tahoma"/>
            <family val="2"/>
          </rPr>
          <t>A number of panels are damaged, requiring patch and repair prior to re-painting</t>
        </r>
      </text>
    </comment>
    <comment ref="L27" authorId="0" shapeId="0" xr:uid="{00000000-0006-0000-0300-00002A000000}">
      <text>
        <r>
          <rPr>
            <b/>
            <sz val="9"/>
            <color indexed="81"/>
            <rFont val="Tahoma"/>
            <family val="2"/>
          </rPr>
          <t>The panels are lifting or separating or otherwise losing their integrity - remove and replace</t>
        </r>
      </text>
    </comment>
    <comment ref="N27" authorId="0" shapeId="0" xr:uid="{00000000-0006-0000-0300-00002B000000}">
      <text>
        <r>
          <rPr>
            <b/>
            <sz val="9"/>
            <color indexed="81"/>
            <rFont val="Tahoma"/>
            <family val="2"/>
          </rPr>
          <t>The panels are lifting or separating or otherwise losing their integrity - remove and replace</t>
        </r>
      </text>
    </comment>
    <comment ref="F29" authorId="0" shapeId="0" xr:uid="{10AB5EE3-B255-453D-BF78-8E9E6C287D4E}">
      <text>
        <r>
          <rPr>
            <b/>
            <sz val="9"/>
            <color indexed="81"/>
            <rFont val="Tahoma"/>
            <family val="2"/>
          </rPr>
          <t>Surface is in tact but finish is deteriorated - paint</t>
        </r>
      </text>
    </comment>
    <comment ref="H29" authorId="0" shapeId="0" xr:uid="{430A52FC-3F57-49EC-A270-6A4A3ED9D163}">
      <text>
        <r>
          <rPr>
            <b/>
            <sz val="9"/>
            <color indexed="81"/>
            <rFont val="Tahoma"/>
            <family val="2"/>
          </rPr>
          <t>Cracks visible - route and patch prior to painting</t>
        </r>
      </text>
    </comment>
    <comment ref="J29" authorId="0" shapeId="0" xr:uid="{00000000-0006-0000-0300-00002D000000}">
      <text>
        <r>
          <rPr>
            <b/>
            <sz val="9"/>
            <color indexed="81"/>
            <rFont val="Tahoma"/>
            <family val="2"/>
          </rPr>
          <t>Cracks visible - route and patch prior to painting</t>
        </r>
      </text>
    </comment>
    <comment ref="L29" authorId="0" shapeId="0" xr:uid="{00000000-0006-0000-0300-00002E000000}">
      <text>
        <r>
          <rPr>
            <b/>
            <sz val="9"/>
            <color indexed="81"/>
            <rFont val="Tahoma"/>
            <family val="2"/>
          </rPr>
          <t>System in failure with evidence of water intrusion - remove and replace</t>
        </r>
      </text>
    </comment>
    <comment ref="N29" authorId="0" shapeId="0" xr:uid="{00000000-0006-0000-0300-00002F000000}">
      <text>
        <r>
          <rPr>
            <b/>
            <sz val="9"/>
            <color indexed="81"/>
            <rFont val="Tahoma"/>
            <family val="2"/>
          </rPr>
          <t>System in failure with evidence of water intrusion - remove and replace</t>
        </r>
      </text>
    </comment>
    <comment ref="F30" authorId="0" shapeId="0" xr:uid="{29EF85BD-1D57-4EF1-A95A-B0A3A592FF5D}">
      <text>
        <r>
          <rPr>
            <b/>
            <sz val="9"/>
            <color indexed="81"/>
            <rFont val="Tahoma"/>
            <family val="2"/>
          </rPr>
          <t xml:space="preserve">Minor repairs needed to mortar, prep, and re-sealing </t>
        </r>
      </text>
    </comment>
    <comment ref="H30" authorId="0" shapeId="0" xr:uid="{F465CA74-E3B9-4FD5-8739-BB691153E336}">
      <text>
        <r>
          <rPr>
            <b/>
            <sz val="9"/>
            <color indexed="81"/>
            <rFont val="Tahoma"/>
            <family val="2"/>
          </rPr>
          <t>Mortar missing in a majority of areas requiring complete re-pointing and sealing</t>
        </r>
      </text>
    </comment>
    <comment ref="J30" authorId="0" shapeId="0" xr:uid="{00000000-0006-0000-0300-000031000000}">
      <text>
        <r>
          <rPr>
            <b/>
            <sz val="9"/>
            <color indexed="81"/>
            <rFont val="Tahoma"/>
            <family val="2"/>
          </rPr>
          <t>Mortar missing in a majority of areas requiring complete re-pointing and sealing</t>
        </r>
      </text>
    </comment>
    <comment ref="L30" authorId="0" shapeId="0" xr:uid="{00000000-0006-0000-0300-000032000000}">
      <text>
        <r>
          <rPr>
            <b/>
            <sz val="9"/>
            <color indexed="81"/>
            <rFont val="Tahoma"/>
            <family val="2"/>
          </rPr>
          <t>Masonry visibly damaged and requiring removal and replacement</t>
        </r>
      </text>
    </comment>
    <comment ref="N30" authorId="0" shapeId="0" xr:uid="{00000000-0006-0000-0300-000033000000}">
      <text>
        <r>
          <rPr>
            <b/>
            <sz val="9"/>
            <color indexed="81"/>
            <rFont val="Tahoma"/>
            <family val="2"/>
          </rPr>
          <t>Masonry visibly damaged and requiring removal and replacement</t>
        </r>
      </text>
    </comment>
    <comment ref="F31" authorId="1" shapeId="0" xr:uid="{B2409DF0-10C9-45B5-946B-6EB04F68A179}">
      <text>
        <r>
          <rPr>
            <b/>
            <sz val="9"/>
            <color indexed="81"/>
            <rFont val="Tahoma"/>
            <family val="2"/>
          </rPr>
          <t>Minor repairs to glazing, sealing, or sash. Does not require replacement</t>
        </r>
      </text>
    </comment>
    <comment ref="H31" authorId="0" shapeId="0" xr:uid="{00000000-0006-0000-0300-000034000000}">
      <text>
        <r>
          <rPr>
            <b/>
            <sz val="9"/>
            <color indexed="81"/>
            <rFont val="Tahoma"/>
            <family val="2"/>
          </rPr>
          <t>The glazing is double pane but is broken or fogged and requires replacement</t>
        </r>
      </text>
    </comment>
    <comment ref="J31" authorId="0" shapeId="0" xr:uid="{00000000-0006-0000-0300-000035000000}">
      <text>
        <r>
          <rPr>
            <b/>
            <sz val="9"/>
            <color indexed="81"/>
            <rFont val="Tahoma"/>
            <family val="2"/>
          </rPr>
          <t>The glazing is single pane or the sash is damaged - either requires replacement of the sash and its glazing</t>
        </r>
      </text>
    </comment>
    <comment ref="L31" authorId="0" shapeId="0" xr:uid="{00000000-0006-0000-0300-000036000000}">
      <text>
        <r>
          <rPr>
            <b/>
            <sz val="9"/>
            <color indexed="81"/>
            <rFont val="Tahoma"/>
            <family val="2"/>
          </rPr>
          <t>The structural integrity of the frame is damaged, requiring the full replacement of the window unit</t>
        </r>
      </text>
    </comment>
    <comment ref="N31" authorId="0" shapeId="0" xr:uid="{00000000-0006-0000-0300-000037000000}">
      <text>
        <r>
          <rPr>
            <b/>
            <sz val="9"/>
            <color indexed="81"/>
            <rFont val="Tahoma"/>
            <family val="2"/>
          </rPr>
          <t>The structural integrity of the frame is damaged, requiring the full replacement of the window unit</t>
        </r>
      </text>
    </comment>
    <comment ref="D32" authorId="0" shapeId="0" xr:uid="{00000000-0006-0000-0300-000038000000}">
      <text>
        <r>
          <rPr>
            <b/>
            <sz val="9"/>
            <color indexed="81"/>
            <rFont val="Tahoma"/>
            <family val="2"/>
          </rPr>
          <t>This assumes both individual aluminum windows and storefront systems</t>
        </r>
      </text>
    </comment>
    <comment ref="F32" authorId="1" shapeId="0" xr:uid="{28D2A242-CB82-4626-BC0C-890814781434}">
      <text>
        <r>
          <rPr>
            <b/>
            <sz val="9"/>
            <color indexed="81"/>
            <rFont val="Tahoma"/>
            <family val="2"/>
          </rPr>
          <t>Minor repairs to glazing, sealing, or sash. Does not require replacement</t>
        </r>
      </text>
    </comment>
    <comment ref="H32" authorId="0" shapeId="0" xr:uid="{00000000-0006-0000-0300-000039000000}">
      <text>
        <r>
          <rPr>
            <b/>
            <sz val="9"/>
            <color indexed="81"/>
            <rFont val="Tahoma"/>
            <family val="2"/>
          </rPr>
          <t>The glazing is double pane but is broken or fogged and requires replacement</t>
        </r>
      </text>
    </comment>
    <comment ref="J32" authorId="0" shapeId="0" xr:uid="{00000000-0006-0000-0300-00003A000000}">
      <text>
        <r>
          <rPr>
            <b/>
            <sz val="9"/>
            <color indexed="81"/>
            <rFont val="Tahoma"/>
            <family val="2"/>
          </rPr>
          <t>The glazing is single pane or the sash is damaged - either requires replacement of the sash and its glazing</t>
        </r>
      </text>
    </comment>
    <comment ref="L32" authorId="0" shapeId="0" xr:uid="{00000000-0006-0000-0300-00003B000000}">
      <text>
        <r>
          <rPr>
            <b/>
            <sz val="9"/>
            <color indexed="81"/>
            <rFont val="Tahoma"/>
            <family val="2"/>
          </rPr>
          <t>The structural integrity of the frame is damaged, requiring the full replacement of the window unit</t>
        </r>
      </text>
    </comment>
    <comment ref="N32" authorId="0" shapeId="0" xr:uid="{00000000-0006-0000-0300-00003C000000}">
      <text>
        <r>
          <rPr>
            <b/>
            <sz val="9"/>
            <color indexed="81"/>
            <rFont val="Tahoma"/>
            <family val="2"/>
          </rPr>
          <t>The structural integrity of the frame is damaged, requiring the full replacement of the window unit</t>
        </r>
      </text>
    </comment>
    <comment ref="D33" authorId="0" shapeId="0" xr:uid="{00000000-0006-0000-0300-00003D000000}">
      <text>
        <r>
          <rPr>
            <b/>
            <sz val="9"/>
            <color indexed="81"/>
            <rFont val="Tahoma"/>
            <family val="2"/>
          </rPr>
          <t>This assumes a metal windows system clad with wood or vinyl</t>
        </r>
      </text>
    </comment>
    <comment ref="F33" authorId="1" shapeId="0" xr:uid="{1F2B22B4-0685-405D-9CEE-371566BEC758}">
      <text>
        <r>
          <rPr>
            <b/>
            <sz val="9"/>
            <color indexed="81"/>
            <rFont val="Tahoma"/>
            <family val="2"/>
          </rPr>
          <t>Minor repairs to glazing, sealing, or sash. Does not require replacement</t>
        </r>
      </text>
    </comment>
    <comment ref="H33" authorId="0" shapeId="0" xr:uid="{00000000-0006-0000-0300-00003E000000}">
      <text>
        <r>
          <rPr>
            <b/>
            <sz val="9"/>
            <color indexed="81"/>
            <rFont val="Tahoma"/>
            <family val="2"/>
          </rPr>
          <t>The glazing is double pane but is broken or fogged and requires replacement</t>
        </r>
      </text>
    </comment>
    <comment ref="J33" authorId="0" shapeId="0" xr:uid="{00000000-0006-0000-0300-00003F000000}">
      <text>
        <r>
          <rPr>
            <b/>
            <sz val="9"/>
            <color indexed="81"/>
            <rFont val="Tahoma"/>
            <family val="2"/>
          </rPr>
          <t>The glazing is single pane or the sash is damaged - either requires replacement of the sash and its glazing</t>
        </r>
      </text>
    </comment>
    <comment ref="L33" authorId="0" shapeId="0" xr:uid="{00000000-0006-0000-0300-000040000000}">
      <text>
        <r>
          <rPr>
            <b/>
            <sz val="9"/>
            <color indexed="81"/>
            <rFont val="Tahoma"/>
            <family val="2"/>
          </rPr>
          <t>The structural integrity of the frame is damaged, requiring the full replacement of the window unit</t>
        </r>
      </text>
    </comment>
    <comment ref="N33" authorId="0" shapeId="0" xr:uid="{00000000-0006-0000-0300-000041000000}">
      <text>
        <r>
          <rPr>
            <b/>
            <sz val="9"/>
            <color indexed="81"/>
            <rFont val="Tahoma"/>
            <family val="2"/>
          </rPr>
          <t>The structural integrity of the frame is damaged, requiring the full replacement of the window unit</t>
        </r>
      </text>
    </comment>
    <comment ref="F34" authorId="1" shapeId="0" xr:uid="{88F6F1BE-81CF-42AF-832D-403B11A7BB0D}">
      <text>
        <r>
          <rPr>
            <b/>
            <sz val="9"/>
            <color indexed="81"/>
            <rFont val="Tahoma"/>
            <family val="2"/>
          </rPr>
          <t xml:space="preserve">Minor repairs to glazing, sealing, or sash. Does not require replacement
</t>
        </r>
      </text>
    </comment>
    <comment ref="H34" authorId="0" shapeId="0" xr:uid="{00000000-0006-0000-0300-000042000000}">
      <text>
        <r>
          <rPr>
            <b/>
            <sz val="9"/>
            <color indexed="81"/>
            <rFont val="Tahoma"/>
            <family val="2"/>
          </rPr>
          <t>Minor leaks at wall seams - re-caulk and re-seal</t>
        </r>
      </text>
    </comment>
    <comment ref="J34" authorId="0" shapeId="0" xr:uid="{00000000-0006-0000-0300-000043000000}">
      <text>
        <r>
          <rPr>
            <b/>
            <sz val="9"/>
            <color indexed="81"/>
            <rFont val="Tahoma"/>
            <family val="2"/>
          </rPr>
          <t>Window panels fogged and require replacement</t>
        </r>
      </text>
    </comment>
    <comment ref="L34" authorId="0" shapeId="0" xr:uid="{00000000-0006-0000-0300-000044000000}">
      <text>
        <r>
          <rPr>
            <b/>
            <sz val="9"/>
            <color indexed="81"/>
            <rFont val="Tahoma"/>
            <family val="2"/>
          </rPr>
          <t>Settlement or displacement is evident</t>
        </r>
      </text>
    </comment>
    <comment ref="N34" authorId="0" shapeId="0" xr:uid="{00000000-0006-0000-0300-000045000000}">
      <text>
        <r>
          <rPr>
            <b/>
            <sz val="9"/>
            <color indexed="81"/>
            <rFont val="Tahoma"/>
            <family val="2"/>
          </rPr>
          <t>Settlement or displacement is evident</t>
        </r>
      </text>
    </comment>
    <comment ref="H35" authorId="0" shapeId="0" xr:uid="{00000000-0006-0000-0300-000046000000}">
      <text>
        <r>
          <rPr>
            <b/>
            <sz val="9"/>
            <color indexed="81"/>
            <rFont val="Tahoma"/>
            <family val="2"/>
          </rPr>
          <t>Door hardware is damaged or non-functional and requires replacement</t>
        </r>
      </text>
    </comment>
    <comment ref="J35" authorId="0" shapeId="0" xr:uid="{00000000-0006-0000-0300-000047000000}">
      <text>
        <r>
          <rPr>
            <b/>
            <sz val="9"/>
            <color indexed="81"/>
            <rFont val="Tahoma"/>
            <family val="2"/>
          </rPr>
          <t xml:space="preserve">Door panel and hardware are damaged and require replacement
</t>
        </r>
      </text>
    </comment>
    <comment ref="L35" authorId="0" shapeId="0" xr:uid="{00000000-0006-0000-0300-000048000000}">
      <text>
        <r>
          <rPr>
            <b/>
            <sz val="9"/>
            <color indexed="81"/>
            <rFont val="Tahoma"/>
            <family val="2"/>
          </rPr>
          <t>Door frame, door, and hardware are damaged and require replacement</t>
        </r>
      </text>
    </comment>
    <comment ref="N35" authorId="0" shapeId="0" xr:uid="{00000000-0006-0000-0300-000049000000}">
      <text>
        <r>
          <rPr>
            <b/>
            <sz val="9"/>
            <color indexed="81"/>
            <rFont val="Tahoma"/>
            <family val="2"/>
          </rPr>
          <t>Door frame, door, and hardware are damaged and require replacement</t>
        </r>
      </text>
    </comment>
    <comment ref="H36" authorId="0" shapeId="0" xr:uid="{00000000-0006-0000-0300-00004A000000}">
      <text>
        <r>
          <rPr>
            <b/>
            <sz val="9"/>
            <color indexed="81"/>
            <rFont val="Tahoma"/>
            <family val="2"/>
          </rPr>
          <t>Door hardware is damaged or non-functional and requires replacement</t>
        </r>
      </text>
    </comment>
    <comment ref="J36" authorId="0" shapeId="0" xr:uid="{00000000-0006-0000-0300-00004B000000}">
      <text>
        <r>
          <rPr>
            <b/>
            <sz val="9"/>
            <color indexed="81"/>
            <rFont val="Tahoma"/>
            <family val="2"/>
          </rPr>
          <t xml:space="preserve">Door panel and hardware are damaged and require replacement
</t>
        </r>
      </text>
    </comment>
    <comment ref="L36" authorId="0" shapeId="0" xr:uid="{00000000-0006-0000-0300-00004C000000}">
      <text>
        <r>
          <rPr>
            <b/>
            <sz val="9"/>
            <color indexed="81"/>
            <rFont val="Tahoma"/>
            <family val="2"/>
          </rPr>
          <t>Door frame, door, and hardware are damaged and require replacement</t>
        </r>
      </text>
    </comment>
    <comment ref="N36" authorId="0" shapeId="0" xr:uid="{00000000-0006-0000-0300-00004D000000}">
      <text>
        <r>
          <rPr>
            <b/>
            <sz val="9"/>
            <color indexed="81"/>
            <rFont val="Tahoma"/>
            <family val="2"/>
          </rPr>
          <t>Door frame, door, and hardware are damaged and require replacement</t>
        </r>
      </text>
    </comment>
    <comment ref="F37" authorId="1" shapeId="0" xr:uid="{26780603-74A4-4589-8CBC-564FC3E93D36}">
      <text>
        <r>
          <rPr>
            <b/>
            <sz val="9"/>
            <color indexed="81"/>
            <rFont val="Tahoma"/>
            <family val="2"/>
          </rPr>
          <t xml:space="preserve">Minor Dings or Bends
</t>
        </r>
      </text>
    </comment>
    <comment ref="H37" authorId="0" shapeId="0" xr:uid="{00000000-0006-0000-0300-00004E000000}">
      <text>
        <r>
          <rPr>
            <b/>
            <sz val="9"/>
            <color indexed="81"/>
            <rFont val="Tahoma"/>
            <family val="2"/>
          </rPr>
          <t>Door hardware is damaged or non-functional and requires replacement</t>
        </r>
      </text>
    </comment>
    <comment ref="J37" authorId="0" shapeId="0" xr:uid="{00000000-0006-0000-0300-00004F000000}">
      <text>
        <r>
          <rPr>
            <b/>
            <sz val="9"/>
            <color indexed="81"/>
            <rFont val="Tahoma"/>
            <family val="2"/>
          </rPr>
          <t xml:space="preserve">Door panel and hardware are damaged and require replacement
</t>
        </r>
      </text>
    </comment>
    <comment ref="L37" authorId="0" shapeId="0" xr:uid="{00000000-0006-0000-0300-000050000000}">
      <text>
        <r>
          <rPr>
            <b/>
            <sz val="9"/>
            <color indexed="81"/>
            <rFont val="Tahoma"/>
            <family val="2"/>
          </rPr>
          <t>Door frame, door, and hardware are damaged and require replacement</t>
        </r>
      </text>
    </comment>
    <comment ref="N37" authorId="0" shapeId="0" xr:uid="{00000000-0006-0000-0300-000051000000}">
      <text>
        <r>
          <rPr>
            <b/>
            <sz val="9"/>
            <color indexed="81"/>
            <rFont val="Tahoma"/>
            <family val="2"/>
          </rPr>
          <t>Door frame, door, and hardware are damaged and require replacement</t>
        </r>
      </text>
    </comment>
    <comment ref="D38" authorId="1" shapeId="0" xr:uid="{C8CE7CF5-E7AB-4203-BDEB-5BE91D4EA20E}">
      <text>
        <r>
          <rPr>
            <b/>
            <sz val="9"/>
            <color indexed="81"/>
            <rFont val="Tahoma"/>
            <family val="2"/>
          </rPr>
          <t>Apply to door count</t>
        </r>
      </text>
    </comment>
    <comment ref="F38" authorId="1" shapeId="0" xr:uid="{89D2DC73-CC1F-45A4-B6CA-9A2D13C94F80}">
      <text>
        <r>
          <rPr>
            <b/>
            <sz val="9"/>
            <color indexed="81"/>
            <rFont val="Tahoma"/>
            <family val="2"/>
          </rPr>
          <t xml:space="preserve">Minor Dings or Bends
</t>
        </r>
      </text>
    </comment>
    <comment ref="H38" authorId="0" shapeId="0" xr:uid="{CC0C04C4-84DC-42DA-9BAC-D2A49CF5602C}">
      <text>
        <r>
          <rPr>
            <b/>
            <sz val="9"/>
            <color indexed="81"/>
            <rFont val="Tahoma"/>
            <family val="2"/>
          </rPr>
          <t>Door hardware is damaged or non-functional and requires replacement</t>
        </r>
      </text>
    </comment>
    <comment ref="J38" authorId="0" shapeId="0" xr:uid="{55928CC9-B69F-4B64-93D1-C1BD517F3E2B}">
      <text>
        <r>
          <rPr>
            <b/>
            <sz val="9"/>
            <color indexed="81"/>
            <rFont val="Tahoma"/>
            <family val="2"/>
          </rPr>
          <t xml:space="preserve">Door panel and hardware are damaged and require replacement
</t>
        </r>
      </text>
    </comment>
    <comment ref="L38" authorId="0" shapeId="0" xr:uid="{5DF46323-4EDB-485B-BFF7-778F99F86D47}">
      <text>
        <r>
          <rPr>
            <b/>
            <sz val="9"/>
            <color indexed="81"/>
            <rFont val="Tahoma"/>
            <family val="2"/>
          </rPr>
          <t>Door track system, door panel, and hardware are damaged and require replacement.</t>
        </r>
      </text>
    </comment>
    <comment ref="N38" authorId="0" shapeId="0" xr:uid="{9C2A7F23-EB4E-495D-AD85-2F2B43B27F41}">
      <text>
        <r>
          <rPr>
            <b/>
            <sz val="9"/>
            <color indexed="81"/>
            <rFont val="Tahoma"/>
            <family val="2"/>
          </rPr>
          <t>Door frame, door, and hardware are damaged and require replacement</t>
        </r>
      </text>
    </comment>
    <comment ref="D39" authorId="1" shapeId="0" xr:uid="{15AC29F9-2CF6-4807-B438-3D0DF0FBF462}">
      <text>
        <r>
          <rPr>
            <b/>
            <sz val="9"/>
            <color indexed="81"/>
            <rFont val="Tahoma"/>
            <family val="2"/>
          </rPr>
          <t>Apply to door count</t>
        </r>
      </text>
    </comment>
    <comment ref="F39" authorId="1" shapeId="0" xr:uid="{424FEAA7-903F-4AE0-9FE9-BA45D346F6BA}">
      <text>
        <r>
          <rPr>
            <b/>
            <sz val="9"/>
            <color indexed="81"/>
            <rFont val="Tahoma"/>
            <family val="2"/>
          </rPr>
          <t xml:space="preserve">Minor Dings or Bends
</t>
        </r>
      </text>
    </comment>
    <comment ref="H39" authorId="0" shapeId="0" xr:uid="{A462B18C-1CAC-4930-8BCE-6A3D90095A57}">
      <text>
        <r>
          <rPr>
            <b/>
            <sz val="9"/>
            <color indexed="81"/>
            <rFont val="Tahoma"/>
            <family val="2"/>
          </rPr>
          <t>Door hardware is damaged or non-functional and requires replacement</t>
        </r>
      </text>
    </comment>
    <comment ref="J39" authorId="0" shapeId="0" xr:uid="{A728FA54-83AC-4842-BE96-91AE24B307AA}">
      <text>
        <r>
          <rPr>
            <b/>
            <sz val="9"/>
            <color indexed="81"/>
            <rFont val="Tahoma"/>
            <family val="2"/>
          </rPr>
          <t xml:space="preserve">Door panel and hardware are damaged and require replacement
</t>
        </r>
      </text>
    </comment>
    <comment ref="L39" authorId="0" shapeId="0" xr:uid="{533A419A-DDAF-434F-AD36-9722EE1FA836}">
      <text>
        <r>
          <rPr>
            <b/>
            <sz val="9"/>
            <color indexed="81"/>
            <rFont val="Tahoma"/>
            <family val="2"/>
          </rPr>
          <t>Door track system, door panel, and hardware are damaged and require replacement.</t>
        </r>
      </text>
    </comment>
    <comment ref="N39" authorId="0" shapeId="0" xr:uid="{B7560F54-D9DB-49EB-874D-84C9B42213B3}">
      <text>
        <r>
          <rPr>
            <b/>
            <sz val="9"/>
            <color indexed="81"/>
            <rFont val="Tahoma"/>
            <family val="2"/>
          </rPr>
          <t>Door frame, door, and hardware are damaged and require replacement</t>
        </r>
      </text>
    </comment>
    <comment ref="C41" authorId="0" shapeId="0" xr:uid="{00000000-0006-0000-0300-000052000000}">
      <text>
        <r>
          <rPr>
            <b/>
            <sz val="9"/>
            <color indexed="81"/>
            <rFont val="Tahoma"/>
            <family val="2"/>
          </rPr>
          <t>Assumes the insulation, roof covering, and associated flashings, gutters, and downspouts</t>
        </r>
      </text>
    </comment>
    <comment ref="F41" authorId="0" shapeId="0" xr:uid="{00000000-0006-0000-0300-000053000000}">
      <text>
        <r>
          <rPr>
            <b/>
            <sz val="9"/>
            <color indexed="81"/>
            <rFont val="Tahoma"/>
            <family val="2"/>
          </rPr>
          <t>Small number of shingles lifting and/or separation in a portion of flashing</t>
        </r>
      </text>
    </comment>
    <comment ref="H41" authorId="0" shapeId="0" xr:uid="{00000000-0006-0000-0300-000054000000}">
      <text>
        <r>
          <rPr>
            <b/>
            <sz val="9"/>
            <color indexed="81"/>
            <rFont val="Tahoma"/>
            <family val="2"/>
          </rPr>
          <t>Leaks in a specific area or zone related to poor detailing and or flashing</t>
        </r>
      </text>
    </comment>
    <comment ref="J41" authorId="0" shapeId="0" xr:uid="{00000000-0006-0000-0300-000055000000}">
      <text>
        <r>
          <rPr>
            <b/>
            <sz val="9"/>
            <color indexed="81"/>
            <rFont val="Tahoma"/>
            <family val="2"/>
          </rPr>
          <t>System in complete failure with multiple leaks and multiple examples of visible breaches in system - Replace roof system OVER TOP OF EXISTING</t>
        </r>
      </text>
    </comment>
    <comment ref="L41" authorId="0" shapeId="0" xr:uid="{00000000-0006-0000-0300-000056000000}">
      <text>
        <r>
          <rPr>
            <b/>
            <sz val="9"/>
            <color indexed="81"/>
            <rFont val="Tahoma"/>
            <family val="2"/>
          </rPr>
          <t>System in complete failure with multiple leaks and multiple examples of visible breaches in system - REMOVE AND Replace roof system</t>
        </r>
      </text>
    </comment>
    <comment ref="N41" authorId="0" shapeId="0" xr:uid="{00000000-0006-0000-0300-000057000000}">
      <text>
        <r>
          <rPr>
            <b/>
            <sz val="9"/>
            <color indexed="81"/>
            <rFont val="Tahoma"/>
            <family val="2"/>
          </rPr>
          <t>System in complete failure with multiple leaks and multiple examples of visible breaches in system - REMOVE AND Replace roof system</t>
        </r>
      </text>
    </comment>
    <comment ref="F42" authorId="0" shapeId="0" xr:uid="{C280D3AC-4020-4CF6-BB06-9429EC7EC7D4}">
      <text>
        <r>
          <rPr>
            <b/>
            <sz val="9"/>
            <color indexed="81"/>
            <rFont val="Tahoma"/>
            <family val="2"/>
          </rPr>
          <t>Small number of shingles lifting and/or separation in a portion of flashing</t>
        </r>
      </text>
    </comment>
    <comment ref="H42" authorId="0" shapeId="0" xr:uid="{99869854-D822-408D-B9E8-126DCE007433}">
      <text>
        <r>
          <rPr>
            <b/>
            <sz val="9"/>
            <color indexed="81"/>
            <rFont val="Tahoma"/>
            <family val="2"/>
          </rPr>
          <t>Leaks in a specific area or zone related to poor detailing and or flashing</t>
        </r>
      </text>
    </comment>
    <comment ref="J42" authorId="0" shapeId="0" xr:uid="{C6C4EA62-7FBF-4D93-B399-1144BB429B1D}">
      <text>
        <r>
          <rPr>
            <b/>
            <sz val="9"/>
            <color indexed="81"/>
            <rFont val="Tahoma"/>
            <family val="2"/>
          </rPr>
          <t>System in complete failure with multiple leaks and multiple examples of visible breaches in system - Replace roof system OVER TOP OF EXISTING</t>
        </r>
      </text>
    </comment>
    <comment ref="L42" authorId="0" shapeId="0" xr:uid="{FD6BF49B-D767-4D55-84EF-23D10C79AFA8}">
      <text>
        <r>
          <rPr>
            <b/>
            <sz val="9"/>
            <color indexed="81"/>
            <rFont val="Tahoma"/>
            <family val="2"/>
          </rPr>
          <t>System in complete failure with multiple leaks and multiple examples of visible breaches in system - REMOVE AND Replace roof system</t>
        </r>
      </text>
    </comment>
    <comment ref="F43" authorId="0" shapeId="0" xr:uid="{15345589-C8F5-414C-B786-AB2A11B96876}">
      <text>
        <r>
          <rPr>
            <b/>
            <sz val="9"/>
            <color indexed="81"/>
            <rFont val="Tahoma"/>
            <family val="2"/>
          </rPr>
          <t>Small number of shingles lifting and/or separation in a portion of flashing</t>
        </r>
      </text>
    </comment>
    <comment ref="H43" authorId="0" shapeId="0" xr:uid="{13F72DB4-9DDF-4C60-80D0-173A83CC0D25}">
      <text>
        <r>
          <rPr>
            <b/>
            <sz val="9"/>
            <color indexed="81"/>
            <rFont val="Tahoma"/>
            <family val="2"/>
          </rPr>
          <t>Leaks in a specific area or zone related to poor detailing and or flashing</t>
        </r>
      </text>
    </comment>
    <comment ref="J43" authorId="0" shapeId="0" xr:uid="{C2DB1CFE-9EAA-480F-9867-485E7CCD90BB}">
      <text>
        <r>
          <rPr>
            <b/>
            <sz val="9"/>
            <color indexed="81"/>
            <rFont val="Tahoma"/>
            <family val="2"/>
          </rPr>
          <t>System in complete failure with multiple leaks and multiple examples of visible breaches in system - Replace roof system OVER TOP OF EXISTING</t>
        </r>
      </text>
    </comment>
    <comment ref="L43" authorId="0" shapeId="0" xr:uid="{FCF0FC56-2255-42C3-90EF-54488958FB15}">
      <text>
        <r>
          <rPr>
            <b/>
            <sz val="9"/>
            <color indexed="81"/>
            <rFont val="Tahoma"/>
            <family val="2"/>
          </rPr>
          <t>System in complete failure with multiple leaks and multiple examples of visible breaches in system - REMOVE AND Replace roof system</t>
        </r>
      </text>
    </comment>
    <comment ref="H44" authorId="0" shapeId="0" xr:uid="{8C99EB04-7447-4C43-953A-4899252FA660}">
      <text>
        <r>
          <rPr>
            <b/>
            <sz val="9"/>
            <color indexed="81"/>
            <rFont val="Tahoma"/>
            <family val="2"/>
          </rPr>
          <t>Leaks occurring at isolated areas requiring grout removal and re-grout at isolated tile locations</t>
        </r>
      </text>
    </comment>
    <comment ref="L44" authorId="0" shapeId="0" xr:uid="{40069D66-4187-4376-88D8-E0290CFA6FA9}">
      <text>
        <r>
          <rPr>
            <b/>
            <sz val="9"/>
            <color indexed="81"/>
            <rFont val="Tahoma"/>
            <family val="2"/>
          </rPr>
          <t>Tiles are cracked, loose, or damaged and require removal and replacement</t>
        </r>
      </text>
    </comment>
    <comment ref="N44" authorId="0" shapeId="0" xr:uid="{550EF887-0BAF-4D1D-92D7-D3A52178FA9D}">
      <text>
        <r>
          <rPr>
            <b/>
            <sz val="9"/>
            <color indexed="81"/>
            <rFont val="Tahoma"/>
            <family val="2"/>
          </rPr>
          <t>Tiles are cracked, loose, or damaged and require removal and replacement</t>
        </r>
      </text>
    </comment>
    <comment ref="F45" authorId="0" shapeId="0" xr:uid="{00000000-0006-0000-0300-000058000000}">
      <text>
        <r>
          <rPr>
            <b/>
            <sz val="9"/>
            <color indexed="81"/>
            <rFont val="Tahoma"/>
            <family val="2"/>
          </rPr>
          <t>Minor blistering requiring isolated patches</t>
        </r>
      </text>
    </comment>
    <comment ref="H45" authorId="0" shapeId="0" xr:uid="{00000000-0006-0000-0300-000059000000}">
      <text>
        <r>
          <rPr>
            <b/>
            <sz val="9"/>
            <color indexed="81"/>
            <rFont val="Tahoma"/>
            <family val="2"/>
          </rPr>
          <t>Leaks in a specific area or zone related to poor detailing and or flashing or unchecked blisters</t>
        </r>
      </text>
    </comment>
    <comment ref="J45" authorId="0" shapeId="0" xr:uid="{00000000-0006-0000-0300-00005A000000}">
      <text>
        <r>
          <rPr>
            <b/>
            <sz val="9"/>
            <color indexed="81"/>
            <rFont val="Tahoma"/>
            <family val="2"/>
          </rPr>
          <t>System in complete failure with multiple leaks and multiple examples of visible breaches in system - Replace roof system OVER TOP OF EXISTING</t>
        </r>
      </text>
    </comment>
    <comment ref="L45" authorId="0" shapeId="0" xr:uid="{00000000-0006-0000-0300-00005B000000}">
      <text>
        <r>
          <rPr>
            <b/>
            <sz val="9"/>
            <color indexed="81"/>
            <rFont val="Tahoma"/>
            <family val="2"/>
          </rPr>
          <t>System in complete failure with multiple leaks and multiple examples of visible breaches in system - REMOVE AND Replace roof system</t>
        </r>
      </text>
    </comment>
    <comment ref="N45" authorId="0" shapeId="0" xr:uid="{00000000-0006-0000-0300-00005C000000}">
      <text>
        <r>
          <rPr>
            <b/>
            <sz val="9"/>
            <color indexed="81"/>
            <rFont val="Tahoma"/>
            <family val="2"/>
          </rPr>
          <t>System in complete failure with multiple leaks and multiple examples of visible breaches in system - REMOVE AND Replace roof system</t>
        </r>
      </text>
    </comment>
    <comment ref="F46" authorId="0" shapeId="0" xr:uid="{00000000-0006-0000-0300-00005D000000}">
      <text>
        <r>
          <rPr>
            <b/>
            <sz val="9"/>
            <color indexed="81"/>
            <rFont val="Tahoma"/>
            <family val="2"/>
          </rPr>
          <t>Minor blistering requiring isolated patches</t>
        </r>
      </text>
    </comment>
    <comment ref="H46" authorId="0" shapeId="0" xr:uid="{00000000-0006-0000-0300-00005E000000}">
      <text>
        <r>
          <rPr>
            <b/>
            <sz val="9"/>
            <color indexed="81"/>
            <rFont val="Tahoma"/>
            <family val="2"/>
          </rPr>
          <t>Leaks in a specific area or zone related to poor detailing and or flashing or seam separation</t>
        </r>
      </text>
    </comment>
    <comment ref="J46" authorId="0" shapeId="0" xr:uid="{00000000-0006-0000-0300-00005F000000}">
      <text>
        <r>
          <rPr>
            <b/>
            <sz val="9"/>
            <color indexed="81"/>
            <rFont val="Tahoma"/>
            <family val="2"/>
          </rPr>
          <t>System in complete failure with multiple leaks and multiple examples of visible breaches in system - Prep and re-coat roof system OVER TOP OF EXISTING</t>
        </r>
      </text>
    </comment>
    <comment ref="L46" authorId="0" shapeId="0" xr:uid="{00000000-0006-0000-0300-000060000000}">
      <text>
        <r>
          <rPr>
            <b/>
            <sz val="9"/>
            <color indexed="81"/>
            <rFont val="Tahoma"/>
            <family val="2"/>
          </rPr>
          <t>System in complete failure with multiple leaks and multiple examples of visible breaches in system - REMOVE AND Replace roof system</t>
        </r>
      </text>
    </comment>
    <comment ref="N46" authorId="0" shapeId="0" xr:uid="{00000000-0006-0000-0300-000061000000}">
      <text>
        <r>
          <rPr>
            <b/>
            <sz val="9"/>
            <color indexed="81"/>
            <rFont val="Tahoma"/>
            <family val="2"/>
          </rPr>
          <t>System in complete failure with multiple leaks and multiple examples of visible breaches in system - REMOVE AND Replace roof system</t>
        </r>
      </text>
    </comment>
    <comment ref="H47" authorId="0" shapeId="0" xr:uid="{00000000-0006-0000-0300-000062000000}">
      <text>
        <r>
          <rPr>
            <b/>
            <sz val="9"/>
            <color indexed="81"/>
            <rFont val="Tahoma"/>
            <family val="2"/>
          </rPr>
          <t>Leaks are occurring and flashing at seams or transitions has separated requiring replacement of flashing and sealant</t>
        </r>
      </text>
    </comment>
    <comment ref="L47" authorId="0" shapeId="0" xr:uid="{00000000-0006-0000-0300-000063000000}">
      <text>
        <r>
          <rPr>
            <b/>
            <sz val="9"/>
            <color indexed="81"/>
            <rFont val="Tahoma"/>
            <family val="2"/>
          </rPr>
          <t>Panels have lifted or separated and water intrusion is evident.  Remove and replace panels and associated flashing</t>
        </r>
      </text>
    </comment>
    <comment ref="N47" authorId="0" shapeId="0" xr:uid="{00000000-0006-0000-0300-000064000000}">
      <text>
        <r>
          <rPr>
            <b/>
            <sz val="9"/>
            <color indexed="81"/>
            <rFont val="Tahoma"/>
            <family val="2"/>
          </rPr>
          <t>Panels have lifted or separated and water intrusion is evident.  Remove and replace panels and associated flashing</t>
        </r>
      </text>
    </comment>
    <comment ref="H48" authorId="0" shapeId="0" xr:uid="{00000000-0006-0000-0300-000065000000}">
      <text>
        <r>
          <rPr>
            <b/>
            <sz val="9"/>
            <color indexed="81"/>
            <rFont val="Tahoma"/>
            <family val="2"/>
          </rPr>
          <t>Leaks occurring at isolated areas requiring grout removal and re-grout at isolated tile locations</t>
        </r>
      </text>
    </comment>
    <comment ref="L48" authorId="0" shapeId="0" xr:uid="{00000000-0006-0000-0300-000066000000}">
      <text>
        <r>
          <rPr>
            <b/>
            <sz val="9"/>
            <color indexed="81"/>
            <rFont val="Tahoma"/>
            <family val="2"/>
          </rPr>
          <t>Tiles are cracked, loose, or damaged and require removal and replacement</t>
        </r>
      </text>
    </comment>
    <comment ref="N48" authorId="0" shapeId="0" xr:uid="{00000000-0006-0000-0300-000067000000}">
      <text>
        <r>
          <rPr>
            <b/>
            <sz val="9"/>
            <color indexed="81"/>
            <rFont val="Tahoma"/>
            <family val="2"/>
          </rPr>
          <t>Tiles are cracked, loose, or damaged and require removal and replacement</t>
        </r>
      </text>
    </comment>
    <comment ref="H49" authorId="0" shapeId="0" xr:uid="{00000000-0006-0000-0300-000068000000}">
      <text>
        <r>
          <rPr>
            <b/>
            <sz val="9"/>
            <color indexed="81"/>
            <rFont val="Tahoma"/>
            <family val="2"/>
          </rPr>
          <t>Minor leaking is occurring, requiring re-caulk and re-seal</t>
        </r>
      </text>
    </comment>
    <comment ref="L49" authorId="0" shapeId="0" xr:uid="{00000000-0006-0000-0300-000069000000}">
      <text>
        <r>
          <rPr>
            <b/>
            <sz val="9"/>
            <color indexed="81"/>
            <rFont val="Tahoma"/>
            <family val="2"/>
          </rPr>
          <t>The panes or framing are damaged beyond repair and requires replacement</t>
        </r>
      </text>
    </comment>
    <comment ref="N49" authorId="0" shapeId="0" xr:uid="{00000000-0006-0000-0300-00006A000000}">
      <text>
        <r>
          <rPr>
            <b/>
            <sz val="9"/>
            <color indexed="81"/>
            <rFont val="Tahoma"/>
            <family val="2"/>
          </rPr>
          <t>The panes or framing are damaged beyond repair and requires replacement</t>
        </r>
      </text>
    </comment>
    <comment ref="L50" authorId="0" shapeId="0" xr:uid="{00000000-0006-0000-0300-00006B000000}">
      <text>
        <r>
          <rPr>
            <b/>
            <sz val="9"/>
            <color indexed="81"/>
            <rFont val="Tahoma"/>
            <family val="2"/>
          </rPr>
          <t>The door is non-functional or damaged beyond repair and requires replacement</t>
        </r>
      </text>
    </comment>
    <comment ref="N50" authorId="0" shapeId="0" xr:uid="{00000000-0006-0000-0300-00006C000000}">
      <text>
        <r>
          <rPr>
            <b/>
            <sz val="9"/>
            <color indexed="81"/>
            <rFont val="Tahoma"/>
            <family val="2"/>
          </rPr>
          <t>The door is non-functional or damaged beyond repair and requires replacement</t>
        </r>
      </text>
    </comment>
    <comment ref="L53" authorId="0" shapeId="0" xr:uid="{00000000-0006-0000-0300-00006D000000}">
      <text>
        <r>
          <rPr>
            <b/>
            <sz val="9"/>
            <color indexed="81"/>
            <rFont val="Tahoma"/>
            <family val="2"/>
          </rPr>
          <t>There is evidence of settling, failure, or a compromised structure that requires removal and replacement</t>
        </r>
      </text>
    </comment>
    <comment ref="N53" authorId="0" shapeId="0" xr:uid="{00000000-0006-0000-0300-00006E000000}">
      <text>
        <r>
          <rPr>
            <b/>
            <sz val="9"/>
            <color indexed="81"/>
            <rFont val="Tahoma"/>
            <family val="2"/>
          </rPr>
          <t>There is evidence of settling, failure, or a compromised structure that requires removal and replacement</t>
        </r>
      </text>
    </comment>
    <comment ref="J54" authorId="0" shapeId="0" xr:uid="{00000000-0006-0000-0300-00006F000000}">
      <text>
        <r>
          <rPr>
            <b/>
            <sz val="9"/>
            <color indexed="81"/>
            <rFont val="Tahoma"/>
            <family val="2"/>
          </rPr>
          <t>There are some blocks that are damaged and requires a strategic removal and replacement</t>
        </r>
      </text>
    </comment>
    <comment ref="L54" authorId="0" shapeId="0" xr:uid="{00000000-0006-0000-0300-000070000000}">
      <text>
        <r>
          <rPr>
            <b/>
            <sz val="9"/>
            <color indexed="81"/>
            <rFont val="Tahoma"/>
            <family val="2"/>
          </rPr>
          <t>There is evidence of settling, failure, or a compromised structure that requires removal and replacement</t>
        </r>
      </text>
    </comment>
    <comment ref="N54" authorId="0" shapeId="0" xr:uid="{00000000-0006-0000-0300-000071000000}">
      <text>
        <r>
          <rPr>
            <b/>
            <sz val="9"/>
            <color indexed="81"/>
            <rFont val="Tahoma"/>
            <family val="2"/>
          </rPr>
          <t>There is evidence of settling, failure, or a compromised structure that requires removal and replacement</t>
        </r>
      </text>
    </comment>
    <comment ref="F55" authorId="1" shapeId="0" xr:uid="{C6FD10A6-20EE-4977-94D8-B621610AE14F}">
      <text>
        <r>
          <rPr>
            <b/>
            <sz val="9"/>
            <color indexed="81"/>
            <rFont val="Tahoma"/>
            <family val="2"/>
          </rPr>
          <t xml:space="preserve">Minor Damage not requiring replacement of frame
</t>
        </r>
      </text>
    </comment>
    <comment ref="H55" authorId="1" shapeId="0" xr:uid="{D12008E0-1371-40E9-8158-B7B7C75F6208}">
      <text>
        <r>
          <rPr>
            <b/>
            <sz val="9"/>
            <color indexed="81"/>
            <rFont val="Tahoma"/>
            <family val="2"/>
          </rPr>
          <t>There are some sections which are damaged and requires a strategic removal and replacement</t>
        </r>
      </text>
    </comment>
    <comment ref="J55" authorId="1" shapeId="0" xr:uid="{963424FA-1F96-4386-9BC1-92A465D0AE92}">
      <text>
        <r>
          <rPr>
            <b/>
            <sz val="9"/>
            <color indexed="81"/>
            <rFont val="Tahoma"/>
            <family val="2"/>
          </rPr>
          <t>There is evidence of settling, failure, or a compromised structure that requires removal and replacement. Frame only no windows</t>
        </r>
        <r>
          <rPr>
            <sz val="9"/>
            <color indexed="81"/>
            <rFont val="Tahoma"/>
            <family val="2"/>
          </rPr>
          <t xml:space="preserve">
</t>
        </r>
      </text>
    </comment>
    <comment ref="L55" authorId="1" shapeId="0" xr:uid="{3400C34C-8945-49F8-B1D1-0709D732D134}">
      <text>
        <r>
          <rPr>
            <b/>
            <sz val="9"/>
            <color indexed="81"/>
            <rFont val="Tahoma"/>
            <family val="2"/>
          </rPr>
          <t>There is evidence of settling, failure, or a compromised structure that requires removal and replacement. Including Windows</t>
        </r>
      </text>
    </comment>
    <comment ref="H56" authorId="0" shapeId="0" xr:uid="{00000000-0006-0000-0300-000072000000}">
      <text>
        <r>
          <rPr>
            <b/>
            <sz val="9"/>
            <color indexed="81"/>
            <rFont val="Tahoma"/>
            <family val="2"/>
          </rPr>
          <t>Door hardware is damaged or non-functional and requires replacement</t>
        </r>
      </text>
    </comment>
    <comment ref="J56" authorId="0" shapeId="0" xr:uid="{00000000-0006-0000-0300-000073000000}">
      <text>
        <r>
          <rPr>
            <b/>
            <sz val="9"/>
            <color indexed="81"/>
            <rFont val="Tahoma"/>
            <family val="2"/>
          </rPr>
          <t xml:space="preserve">Door panel and hardware are damaged and require replacement
</t>
        </r>
      </text>
    </comment>
    <comment ref="L56" authorId="0" shapeId="0" xr:uid="{00000000-0006-0000-0300-000074000000}">
      <text>
        <r>
          <rPr>
            <b/>
            <sz val="9"/>
            <color indexed="81"/>
            <rFont val="Tahoma"/>
            <family val="2"/>
          </rPr>
          <t>Door frame, door, and hardware are damaged and require replacement</t>
        </r>
      </text>
    </comment>
    <comment ref="N56" authorId="0" shapeId="0" xr:uid="{00000000-0006-0000-0300-000075000000}">
      <text>
        <r>
          <rPr>
            <b/>
            <sz val="9"/>
            <color indexed="81"/>
            <rFont val="Tahoma"/>
            <family val="2"/>
          </rPr>
          <t>Door frame, door, and hardware are damaged and require replacement</t>
        </r>
      </text>
    </comment>
    <comment ref="H57" authorId="0" shapeId="0" xr:uid="{00000000-0006-0000-0300-000076000000}">
      <text>
        <r>
          <rPr>
            <b/>
            <sz val="9"/>
            <color indexed="81"/>
            <rFont val="Tahoma"/>
            <family val="2"/>
          </rPr>
          <t>Door hardware is damaged or non-functional and requires replacement</t>
        </r>
      </text>
    </comment>
    <comment ref="J57" authorId="0" shapeId="0" xr:uid="{00000000-0006-0000-0300-000077000000}">
      <text>
        <r>
          <rPr>
            <b/>
            <sz val="9"/>
            <color indexed="81"/>
            <rFont val="Tahoma"/>
            <family val="2"/>
          </rPr>
          <t xml:space="preserve">Door panel and hardware are damaged and require replacement
</t>
        </r>
      </text>
    </comment>
    <comment ref="L57" authorId="0" shapeId="0" xr:uid="{00000000-0006-0000-0300-000078000000}">
      <text>
        <r>
          <rPr>
            <b/>
            <sz val="9"/>
            <color indexed="81"/>
            <rFont val="Tahoma"/>
            <family val="2"/>
          </rPr>
          <t>Door frame, door, and hardware are damaged and require replacement</t>
        </r>
      </text>
    </comment>
    <comment ref="N57" authorId="0" shapeId="0" xr:uid="{00000000-0006-0000-0300-000079000000}">
      <text>
        <r>
          <rPr>
            <b/>
            <sz val="9"/>
            <color indexed="81"/>
            <rFont val="Tahoma"/>
            <family val="2"/>
          </rPr>
          <t>Door frame, door, and hardware are damaged and require replacement</t>
        </r>
      </text>
    </comment>
    <comment ref="F58" authorId="1" shapeId="0" xr:uid="{6D18224F-4D28-4272-8968-1FC22F7E25C4}">
      <text>
        <r>
          <rPr>
            <b/>
            <sz val="9"/>
            <color indexed="81"/>
            <rFont val="Tahoma"/>
            <family val="2"/>
          </rPr>
          <t xml:space="preserve">Minor Dings or Bends
</t>
        </r>
      </text>
    </comment>
    <comment ref="H58" authorId="0" shapeId="0" xr:uid="{797FCC08-CBD6-4BA8-8626-85FEB86C45BA}">
      <text>
        <r>
          <rPr>
            <b/>
            <sz val="9"/>
            <color indexed="81"/>
            <rFont val="Tahoma"/>
            <family val="2"/>
          </rPr>
          <t>Door hardware is damaged or non-functional and requires replacement</t>
        </r>
      </text>
    </comment>
    <comment ref="J58" authorId="0" shapeId="0" xr:uid="{BE7CDA96-1FCC-4B84-A0C1-820B690F8631}">
      <text>
        <r>
          <rPr>
            <b/>
            <sz val="9"/>
            <color indexed="81"/>
            <rFont val="Tahoma"/>
            <family val="2"/>
          </rPr>
          <t xml:space="preserve">Door panel and hardware are damaged and require replacement
</t>
        </r>
      </text>
    </comment>
    <comment ref="L58" authorId="0" shapeId="0" xr:uid="{75B45257-6064-4392-933A-93635AB4D1A5}">
      <text>
        <r>
          <rPr>
            <b/>
            <sz val="9"/>
            <color indexed="81"/>
            <rFont val="Tahoma"/>
            <family val="2"/>
          </rPr>
          <t>Door frame, door, and hardware are damaged and require replacement</t>
        </r>
      </text>
    </comment>
    <comment ref="N58" authorId="0" shapeId="0" xr:uid="{62EE600A-AD5A-41CE-AA7D-EDBEC3B1DA9F}">
      <text>
        <r>
          <rPr>
            <b/>
            <sz val="9"/>
            <color indexed="81"/>
            <rFont val="Tahoma"/>
            <family val="2"/>
          </rPr>
          <t>Door frame, door, and hardware are damaged and require replacement</t>
        </r>
      </text>
    </comment>
    <comment ref="F59" authorId="1" shapeId="0" xr:uid="{55DD726E-5BB7-4F2F-8753-497D5875C489}">
      <text>
        <r>
          <rPr>
            <b/>
            <sz val="9"/>
            <color indexed="81"/>
            <rFont val="Tahoma"/>
            <family val="2"/>
          </rPr>
          <t xml:space="preserve">Minor Dings or Bends
</t>
        </r>
      </text>
    </comment>
    <comment ref="H59" authorId="0" shapeId="0" xr:uid="{D8CB9326-C411-4FE9-881F-0B5622B0CF32}">
      <text>
        <r>
          <rPr>
            <b/>
            <sz val="9"/>
            <color indexed="81"/>
            <rFont val="Tahoma"/>
            <family val="2"/>
          </rPr>
          <t>Door hardware is damaged or non-functional and requires replacement</t>
        </r>
      </text>
    </comment>
    <comment ref="J59" authorId="0" shapeId="0" xr:uid="{B995168F-D02A-44BA-9C30-3391F2CB62F4}">
      <text>
        <r>
          <rPr>
            <b/>
            <sz val="9"/>
            <color indexed="81"/>
            <rFont val="Tahoma"/>
            <family val="2"/>
          </rPr>
          <t xml:space="preserve">Door panel and hardware are damaged and require replacement
</t>
        </r>
      </text>
    </comment>
    <comment ref="L59" authorId="0" shapeId="0" xr:uid="{0CA16C71-8B18-434D-97EA-7065F613058A}">
      <text>
        <r>
          <rPr>
            <b/>
            <sz val="9"/>
            <color indexed="81"/>
            <rFont val="Tahoma"/>
            <family val="2"/>
          </rPr>
          <t>Door track system, door panel, and hardware are damaged and require replacement.</t>
        </r>
      </text>
    </comment>
    <comment ref="N59" authorId="0" shapeId="0" xr:uid="{4229EC84-41D3-41B9-91B4-C4CD93F874AC}">
      <text>
        <r>
          <rPr>
            <b/>
            <sz val="9"/>
            <color indexed="81"/>
            <rFont val="Tahoma"/>
            <family val="2"/>
          </rPr>
          <t>Door frame, door, and hardware are damaged and require replacement</t>
        </r>
      </text>
    </comment>
    <comment ref="F60" authorId="1" shapeId="0" xr:uid="{61E55524-62F2-4194-8F61-0279631786E3}">
      <text>
        <r>
          <rPr>
            <b/>
            <sz val="9"/>
            <color indexed="81"/>
            <rFont val="Tahoma"/>
            <family val="2"/>
          </rPr>
          <t xml:space="preserve">Minor Dings or Bends
</t>
        </r>
      </text>
    </comment>
    <comment ref="H60" authorId="0" shapeId="0" xr:uid="{DC67588E-C975-42B8-9D95-57A7DFF7B0DF}">
      <text>
        <r>
          <rPr>
            <b/>
            <sz val="9"/>
            <color indexed="81"/>
            <rFont val="Tahoma"/>
            <family val="2"/>
          </rPr>
          <t>Door hardware is damaged or non-functional and requires replacement</t>
        </r>
      </text>
    </comment>
    <comment ref="J60" authorId="0" shapeId="0" xr:uid="{A5FAA4E8-40F2-43B3-91A0-444C28A3AA3F}">
      <text>
        <r>
          <rPr>
            <b/>
            <sz val="9"/>
            <color indexed="81"/>
            <rFont val="Tahoma"/>
            <family val="2"/>
          </rPr>
          <t xml:space="preserve">Door panel and hardware are damaged and require replacement
</t>
        </r>
      </text>
    </comment>
    <comment ref="L60" authorId="0" shapeId="0" xr:uid="{9AF9C576-AC57-46C2-8DE5-656452F27A44}">
      <text>
        <r>
          <rPr>
            <b/>
            <sz val="9"/>
            <color indexed="81"/>
            <rFont val="Tahoma"/>
            <family val="2"/>
          </rPr>
          <t>Door track system, door panel, and hardware are damaged and require replacement.</t>
        </r>
      </text>
    </comment>
    <comment ref="N60" authorId="0" shapeId="0" xr:uid="{8D812310-B683-48CF-9A99-6F6D4795480E}">
      <text>
        <r>
          <rPr>
            <b/>
            <sz val="9"/>
            <color indexed="81"/>
            <rFont val="Tahoma"/>
            <family val="2"/>
          </rPr>
          <t>Door frame, door, and hardware are damaged and require replacement</t>
        </r>
      </text>
    </comment>
    <comment ref="F61" authorId="1" shapeId="0" xr:uid="{90F833FD-5446-48A8-A427-B955B7625D74}">
      <text>
        <r>
          <rPr>
            <b/>
            <sz val="9"/>
            <color indexed="81"/>
            <rFont val="Tahoma"/>
            <family val="2"/>
          </rPr>
          <t>Minor repairs to glazing, sealing, or sash. Does not require replacement</t>
        </r>
      </text>
    </comment>
    <comment ref="H61" authorId="0" shapeId="0" xr:uid="{99F8B6F7-0B74-4423-B079-68B95FB45DDF}">
      <text>
        <r>
          <rPr>
            <b/>
            <sz val="9"/>
            <color indexed="81"/>
            <rFont val="Tahoma"/>
            <family val="2"/>
          </rPr>
          <t>The glazing is double pane but is broken or fogged and requires replacement</t>
        </r>
      </text>
    </comment>
    <comment ref="J61" authorId="0" shapeId="0" xr:uid="{4E5C9956-0011-4F1D-84A0-0A9C6B5FABD6}">
      <text>
        <r>
          <rPr>
            <b/>
            <sz val="9"/>
            <color indexed="81"/>
            <rFont val="Tahoma"/>
            <family val="2"/>
          </rPr>
          <t>The glazing is single pane or the sash is damaged - either requires replacement of the sash and its glazing</t>
        </r>
      </text>
    </comment>
    <comment ref="L61" authorId="0" shapeId="0" xr:uid="{95EEB40A-9093-4466-971A-9C84B1BB3A77}">
      <text>
        <r>
          <rPr>
            <b/>
            <sz val="9"/>
            <color indexed="81"/>
            <rFont val="Tahoma"/>
            <family val="2"/>
          </rPr>
          <t>The structural integrity of the frame is damaged, requiring the full replacement of the window unit</t>
        </r>
      </text>
    </comment>
    <comment ref="N61" authorId="0" shapeId="0" xr:uid="{1CAF17EE-72A8-43C4-9B20-0B977E083DA2}">
      <text>
        <r>
          <rPr>
            <b/>
            <sz val="9"/>
            <color indexed="81"/>
            <rFont val="Tahoma"/>
            <family val="2"/>
          </rPr>
          <t>The structural integrity of the frame is damaged, requiring the full replacement of the window unit</t>
        </r>
      </text>
    </comment>
    <comment ref="D62" authorId="0" shapeId="0" xr:uid="{90ECE53F-F054-40F9-95DF-46D5BEE4DA44}">
      <text>
        <r>
          <rPr>
            <b/>
            <sz val="9"/>
            <color indexed="81"/>
            <rFont val="Tahoma"/>
            <family val="2"/>
          </rPr>
          <t>This assumes both individual aluminum windows and storefront systems</t>
        </r>
      </text>
    </comment>
    <comment ref="F62" authorId="1" shapeId="0" xr:uid="{CC2D3A3E-34FD-4993-A1C0-9ADE59565815}">
      <text>
        <r>
          <rPr>
            <b/>
            <sz val="9"/>
            <color indexed="81"/>
            <rFont val="Tahoma"/>
            <family val="2"/>
          </rPr>
          <t>Minor repairs to glazing, sealing, or sash. Does not require replacement</t>
        </r>
      </text>
    </comment>
    <comment ref="H62" authorId="0" shapeId="0" xr:uid="{6E6F93CB-9A0B-4BDB-8704-CF154911FF57}">
      <text>
        <r>
          <rPr>
            <b/>
            <sz val="9"/>
            <color indexed="81"/>
            <rFont val="Tahoma"/>
            <family val="2"/>
          </rPr>
          <t>The glazing is double pane but is broken or fogged and requires replacement</t>
        </r>
      </text>
    </comment>
    <comment ref="J62" authorId="0" shapeId="0" xr:uid="{BAF6317D-40BF-4873-9832-F92D0EF87662}">
      <text>
        <r>
          <rPr>
            <b/>
            <sz val="9"/>
            <color indexed="81"/>
            <rFont val="Tahoma"/>
            <family val="2"/>
          </rPr>
          <t>The glazing is single pane or the sash is damaged - either requires replacement of the sash and its glazing</t>
        </r>
      </text>
    </comment>
    <comment ref="L62" authorId="0" shapeId="0" xr:uid="{9B99155B-ED7F-4D48-BCD7-DE3F360F8C5F}">
      <text>
        <r>
          <rPr>
            <b/>
            <sz val="9"/>
            <color indexed="81"/>
            <rFont val="Tahoma"/>
            <family val="2"/>
          </rPr>
          <t>The structural integrity of the frame is damaged, requiring the full replacement of the window unit</t>
        </r>
      </text>
    </comment>
    <comment ref="N62" authorId="0" shapeId="0" xr:uid="{55FCD144-85C7-40B8-940B-19E96F8F1CF8}">
      <text>
        <r>
          <rPr>
            <b/>
            <sz val="9"/>
            <color indexed="81"/>
            <rFont val="Tahoma"/>
            <family val="2"/>
          </rPr>
          <t>The structural integrity of the frame is damaged, requiring the full replacement of the window unit</t>
        </r>
      </text>
    </comment>
    <comment ref="D63" authorId="0" shapeId="0" xr:uid="{5B52AD9B-2ABA-4E4B-BBEC-EF3E7CF431E5}">
      <text>
        <r>
          <rPr>
            <b/>
            <sz val="9"/>
            <color indexed="81"/>
            <rFont val="Tahoma"/>
            <family val="2"/>
          </rPr>
          <t>This assumes a metal windows system clad with wood or vinyl</t>
        </r>
      </text>
    </comment>
    <comment ref="F63" authorId="1" shapeId="0" xr:uid="{AAE83DD7-CE73-4E6A-A52A-17AFCAF1F7B5}">
      <text>
        <r>
          <rPr>
            <b/>
            <sz val="9"/>
            <color indexed="81"/>
            <rFont val="Tahoma"/>
            <family val="2"/>
          </rPr>
          <t>Minor repairs to glazing, sealing, or sash. Does not require replacement</t>
        </r>
      </text>
    </comment>
    <comment ref="H63" authorId="0" shapeId="0" xr:uid="{A08D7602-4ED2-4D5A-A835-053392478ECE}">
      <text>
        <r>
          <rPr>
            <b/>
            <sz val="9"/>
            <color indexed="81"/>
            <rFont val="Tahoma"/>
            <family val="2"/>
          </rPr>
          <t>The glazing is double pane but is broken or fogged and requires replacement</t>
        </r>
      </text>
    </comment>
    <comment ref="J63" authorId="0" shapeId="0" xr:uid="{948CA9B3-D756-401C-A44B-05F9353B908B}">
      <text>
        <r>
          <rPr>
            <b/>
            <sz val="9"/>
            <color indexed="81"/>
            <rFont val="Tahoma"/>
            <family val="2"/>
          </rPr>
          <t>The glazing is single pane or the sash is damaged - either requires replacement of the sash and its glazing</t>
        </r>
      </text>
    </comment>
    <comment ref="L63" authorId="0" shapeId="0" xr:uid="{5A286C08-BC78-4160-BBCB-F062F6F46213}">
      <text>
        <r>
          <rPr>
            <b/>
            <sz val="9"/>
            <color indexed="81"/>
            <rFont val="Tahoma"/>
            <family val="2"/>
          </rPr>
          <t>The structural integrity of the frame is damaged, requiring the full replacement of the window unit</t>
        </r>
      </text>
    </comment>
    <comment ref="N63" authorId="0" shapeId="0" xr:uid="{C7A01A99-B34B-4095-B5E7-52428667E988}">
      <text>
        <r>
          <rPr>
            <b/>
            <sz val="9"/>
            <color indexed="81"/>
            <rFont val="Tahoma"/>
            <family val="2"/>
          </rPr>
          <t>The structural integrity of the frame is damaged, requiring the full replacement of the window unit</t>
        </r>
      </text>
    </comment>
    <comment ref="J65" authorId="0" shapeId="0" xr:uid="{00000000-0006-0000-0300-00007A000000}">
      <text>
        <r>
          <rPr>
            <b/>
            <sz val="9"/>
            <color indexed="81"/>
            <rFont val="Tahoma"/>
            <family val="2"/>
          </rPr>
          <t>Rails not compliant with code and require removal and replacement</t>
        </r>
      </text>
    </comment>
    <comment ref="L65" authorId="0" shapeId="0" xr:uid="{00000000-0006-0000-0300-00007B000000}">
      <text>
        <r>
          <rPr>
            <b/>
            <sz val="9"/>
            <color indexed="81"/>
            <rFont val="Tahoma"/>
            <family val="2"/>
          </rPr>
          <t>Structural integrity of stair unit is compromised and requires its removal and replacement</t>
        </r>
      </text>
    </comment>
    <comment ref="N65" authorId="0" shapeId="0" xr:uid="{00000000-0006-0000-0300-00007C000000}">
      <text>
        <r>
          <rPr>
            <b/>
            <sz val="9"/>
            <color indexed="81"/>
            <rFont val="Tahoma"/>
            <family val="2"/>
          </rPr>
          <t>Structural integrity of stair unit is compromised and requires its removal and replacement</t>
        </r>
      </text>
    </comment>
    <comment ref="F66" authorId="0" shapeId="0" xr:uid="{00000000-0006-0000-0300-00007D000000}">
      <text>
        <r>
          <rPr>
            <b/>
            <sz val="9"/>
            <color indexed="81"/>
            <rFont val="Tahoma"/>
            <family val="2"/>
          </rPr>
          <t>Rust visible - prep and re-finish</t>
        </r>
      </text>
    </comment>
    <comment ref="J66" authorId="0" shapeId="0" xr:uid="{00000000-0006-0000-0300-00007E000000}">
      <text>
        <r>
          <rPr>
            <b/>
            <sz val="9"/>
            <color indexed="81"/>
            <rFont val="Tahoma"/>
            <family val="2"/>
          </rPr>
          <t>Rails not compliant with code and require removal and replacement</t>
        </r>
      </text>
    </comment>
    <comment ref="L66" authorId="0" shapeId="0" xr:uid="{00000000-0006-0000-0300-00007F000000}">
      <text>
        <r>
          <rPr>
            <b/>
            <sz val="9"/>
            <color indexed="81"/>
            <rFont val="Tahoma"/>
            <family val="2"/>
          </rPr>
          <t>Structural integrity of stair unit is compromised and requires its removal and replacement</t>
        </r>
      </text>
    </comment>
    <comment ref="N66" authorId="0" shapeId="0" xr:uid="{00000000-0006-0000-0300-000080000000}">
      <text>
        <r>
          <rPr>
            <b/>
            <sz val="9"/>
            <color indexed="81"/>
            <rFont val="Tahoma"/>
            <family val="2"/>
          </rPr>
          <t>Structural integrity of stair unit is compromised and requires its removal and replacement</t>
        </r>
      </text>
    </comment>
    <comment ref="J67" authorId="0" shapeId="0" xr:uid="{00000000-0006-0000-0300-000081000000}">
      <text>
        <r>
          <rPr>
            <b/>
            <sz val="9"/>
            <color indexed="81"/>
            <rFont val="Tahoma"/>
            <family val="2"/>
          </rPr>
          <t>An isolated structural crack or separation requiring re-enforcement in place</t>
        </r>
      </text>
    </comment>
    <comment ref="L67" authorId="0" shapeId="0" xr:uid="{00000000-0006-0000-0300-000082000000}">
      <text>
        <r>
          <rPr>
            <b/>
            <sz val="9"/>
            <color indexed="81"/>
            <rFont val="Tahoma"/>
            <family val="2"/>
          </rPr>
          <t>Structural cracking and separation occurring in multiple locations - remove and replace the stair unit</t>
        </r>
      </text>
    </comment>
    <comment ref="N67" authorId="0" shapeId="0" xr:uid="{00000000-0006-0000-0300-000083000000}">
      <text>
        <r>
          <rPr>
            <b/>
            <sz val="9"/>
            <color indexed="81"/>
            <rFont val="Tahoma"/>
            <family val="2"/>
          </rPr>
          <t>Structural cracking and separation occurring in multiple locations - remove and replace the stair unit</t>
        </r>
      </text>
    </comment>
    <comment ref="F68" authorId="0" shapeId="0" xr:uid="{00000000-0006-0000-0300-000084000000}">
      <text>
        <r>
          <rPr>
            <b/>
            <sz val="9"/>
            <color indexed="81"/>
            <rFont val="Tahoma"/>
            <family val="2"/>
          </rPr>
          <t>Surface feels rough and/or taking in moisture from the surface resulting in staining - prep and re-seal</t>
        </r>
      </text>
    </comment>
    <comment ref="L68" authorId="0" shapeId="0" xr:uid="{00000000-0006-0000-0300-000085000000}">
      <text>
        <r>
          <rPr>
            <b/>
            <sz val="9"/>
            <color indexed="81"/>
            <rFont val="Tahoma"/>
            <family val="2"/>
          </rPr>
          <t>Severe cracking requiring removal and replacement of tread in fills</t>
        </r>
      </text>
    </comment>
    <comment ref="N68" authorId="0" shapeId="0" xr:uid="{00000000-0006-0000-0300-000086000000}">
      <text>
        <r>
          <rPr>
            <b/>
            <sz val="9"/>
            <color indexed="81"/>
            <rFont val="Tahoma"/>
            <family val="2"/>
          </rPr>
          <t>Severe cracking requiring removal and replacement of tread in fills</t>
        </r>
      </text>
    </comment>
    <comment ref="L69" authorId="0" shapeId="0" xr:uid="{00000000-0006-0000-0300-000087000000}">
      <text>
        <r>
          <rPr>
            <b/>
            <sz val="9"/>
            <color indexed="81"/>
            <rFont val="Tahoma"/>
            <family val="2"/>
          </rPr>
          <t>finish is lifting or separating and creating trip hazards - remove and replace</t>
        </r>
      </text>
    </comment>
    <comment ref="N69" authorId="0" shapeId="0" xr:uid="{00000000-0006-0000-0300-000088000000}">
      <text>
        <r>
          <rPr>
            <b/>
            <sz val="9"/>
            <color indexed="81"/>
            <rFont val="Tahoma"/>
            <family val="2"/>
          </rPr>
          <t>finish is lifting or separating and creating trip hazards - remove and replace</t>
        </r>
      </text>
    </comment>
    <comment ref="F73" authorId="0" shapeId="0" xr:uid="{00000000-0006-0000-0300-000089000000}">
      <text>
        <r>
          <rPr>
            <b/>
            <sz val="9"/>
            <color indexed="81"/>
            <rFont val="Tahoma"/>
            <family val="2"/>
          </rPr>
          <t>Surface is in tact but finish is deteriorated - paint</t>
        </r>
      </text>
    </comment>
    <comment ref="L73" authorId="0" shapeId="0" xr:uid="{00000000-0006-0000-0300-00008A000000}">
      <text>
        <r>
          <rPr>
            <b/>
            <sz val="9"/>
            <color indexed="81"/>
            <rFont val="Tahoma"/>
            <family val="2"/>
          </rPr>
          <t>Systemic failure of finish, possible water intrusion - requires removal and replacement</t>
        </r>
      </text>
    </comment>
    <comment ref="N73" authorId="0" shapeId="0" xr:uid="{00000000-0006-0000-0300-00008B000000}">
      <text>
        <r>
          <rPr>
            <b/>
            <sz val="9"/>
            <color indexed="81"/>
            <rFont val="Tahoma"/>
            <family val="2"/>
          </rPr>
          <t>Systemic failure of finish, possible water intrusion - requires removal and replacement</t>
        </r>
      </text>
    </comment>
    <comment ref="F74" authorId="0" shapeId="0" xr:uid="{00000000-0006-0000-0300-00008C000000}">
      <text>
        <r>
          <rPr>
            <b/>
            <sz val="9"/>
            <color indexed="81"/>
            <rFont val="Tahoma"/>
            <family val="2"/>
          </rPr>
          <t>Surface is in tact but finish is deteriorated - paint</t>
        </r>
      </text>
    </comment>
    <comment ref="H74" authorId="0" shapeId="0" xr:uid="{00000000-0006-0000-0300-00008D000000}">
      <text>
        <r>
          <rPr>
            <b/>
            <sz val="9"/>
            <color indexed="81"/>
            <rFont val="Tahoma"/>
            <family val="2"/>
          </rPr>
          <t>Surface is damaged - patching of the surface is required prior to painting</t>
        </r>
      </text>
    </comment>
    <comment ref="L74" authorId="0" shapeId="0" xr:uid="{00000000-0006-0000-0300-00008E000000}">
      <text>
        <r>
          <rPr>
            <b/>
            <sz val="9"/>
            <color indexed="81"/>
            <rFont val="Tahoma"/>
            <family val="2"/>
          </rPr>
          <t>Systemic failure of finish, possible water intrusion - requires removal and replacement</t>
        </r>
      </text>
    </comment>
    <comment ref="N74" authorId="0" shapeId="0" xr:uid="{00000000-0006-0000-0300-00008F000000}">
      <text>
        <r>
          <rPr>
            <b/>
            <sz val="9"/>
            <color indexed="81"/>
            <rFont val="Tahoma"/>
            <family val="2"/>
          </rPr>
          <t>Systemic failure of finish, possible water intrusion - requires removal and replacement</t>
        </r>
      </text>
    </comment>
    <comment ref="F75" authorId="0" shapeId="0" xr:uid="{00000000-0006-0000-0300-000090000000}">
      <text>
        <r>
          <rPr>
            <b/>
            <sz val="9"/>
            <color indexed="81"/>
            <rFont val="Tahoma"/>
            <family val="2"/>
          </rPr>
          <t>Surface is in tact but finish is deteriorated - paint</t>
        </r>
      </text>
    </comment>
    <comment ref="L75" authorId="0" shapeId="0" xr:uid="{00000000-0006-0000-0300-000091000000}">
      <text>
        <r>
          <rPr>
            <b/>
            <sz val="9"/>
            <color indexed="81"/>
            <rFont val="Tahoma"/>
            <family val="2"/>
          </rPr>
          <t>Systemic failure of finish, possible water intrusion - requires removal and replacement</t>
        </r>
      </text>
    </comment>
    <comment ref="N75" authorId="0" shapeId="0" xr:uid="{00000000-0006-0000-0300-000092000000}">
      <text>
        <r>
          <rPr>
            <b/>
            <sz val="9"/>
            <color indexed="81"/>
            <rFont val="Tahoma"/>
            <family val="2"/>
          </rPr>
          <t>Systemic failure of finish, possible water intrusion - requires removal and replacement</t>
        </r>
      </text>
    </comment>
    <comment ref="F79" authorId="0" shapeId="0" xr:uid="{00000000-0006-0000-0300-000093000000}">
      <text>
        <r>
          <rPr>
            <b/>
            <sz val="9"/>
            <color indexed="81"/>
            <rFont val="Tahoma"/>
            <family val="2"/>
          </rPr>
          <t>Grout is damaged or deteriorated</t>
        </r>
      </text>
    </comment>
    <comment ref="L79" authorId="0" shapeId="0" xr:uid="{00000000-0006-0000-0300-000094000000}">
      <text>
        <r>
          <rPr>
            <b/>
            <sz val="9"/>
            <color indexed="81"/>
            <rFont val="Tahoma"/>
            <family val="2"/>
          </rPr>
          <t>Tiles are cracked or in disrepair</t>
        </r>
      </text>
    </comment>
    <comment ref="N79" authorId="0" shapeId="0" xr:uid="{00000000-0006-0000-0300-000095000000}">
      <text>
        <r>
          <rPr>
            <b/>
            <sz val="9"/>
            <color indexed="81"/>
            <rFont val="Tahoma"/>
            <family val="2"/>
          </rPr>
          <t>Tiles are cracked or in disrepair</t>
        </r>
      </text>
    </comment>
    <comment ref="L80" authorId="0" shapeId="0" xr:uid="{00000000-0006-0000-0300-000096000000}">
      <text>
        <r>
          <rPr>
            <b/>
            <sz val="9"/>
            <color indexed="81"/>
            <rFont val="Tahoma"/>
            <family val="2"/>
          </rPr>
          <t>worn or severely stained or starting to pull up / bubble</t>
        </r>
      </text>
    </comment>
    <comment ref="N80" authorId="0" shapeId="0" xr:uid="{00000000-0006-0000-0300-000097000000}">
      <text>
        <r>
          <rPr>
            <b/>
            <sz val="9"/>
            <color indexed="81"/>
            <rFont val="Tahoma"/>
            <family val="2"/>
          </rPr>
          <t>worn or severely stained or starting to pull up / bubble</t>
        </r>
      </text>
    </comment>
    <comment ref="F81" authorId="0" shapeId="0" xr:uid="{00000000-0006-0000-0300-000098000000}">
      <text>
        <r>
          <rPr>
            <b/>
            <sz val="9"/>
            <color indexed="81"/>
            <rFont val="Tahoma"/>
            <family val="2"/>
          </rPr>
          <t>sporadic number of tiles are lifting or cracked / broken and require replacement</t>
        </r>
      </text>
    </comment>
    <comment ref="J81" authorId="0" shapeId="0" xr:uid="{00000000-0006-0000-0300-000099000000}">
      <text>
        <r>
          <rPr>
            <b/>
            <sz val="9"/>
            <color indexed="81"/>
            <rFont val="Tahoma"/>
            <family val="2"/>
          </rPr>
          <t xml:space="preserve">The majority of tiles are lifting, cracking / broken and require replacement - the tiles or glue are </t>
        </r>
        <r>
          <rPr>
            <b/>
            <u/>
            <sz val="9"/>
            <color indexed="81"/>
            <rFont val="Tahoma"/>
            <family val="2"/>
          </rPr>
          <t>NOT</t>
        </r>
        <r>
          <rPr>
            <b/>
            <sz val="9"/>
            <color indexed="81"/>
            <rFont val="Tahoma"/>
            <family val="2"/>
          </rPr>
          <t xml:space="preserve"> asbestos</t>
        </r>
      </text>
    </comment>
    <comment ref="L81" authorId="0" shapeId="0" xr:uid="{00000000-0006-0000-0300-00009A000000}">
      <text>
        <r>
          <rPr>
            <b/>
            <sz val="9"/>
            <color indexed="81"/>
            <rFont val="Tahoma"/>
            <family val="2"/>
          </rPr>
          <t>The majority of tiles are lifting, cracking / broken and require replacement - the tiles or glue are asbestos</t>
        </r>
      </text>
    </comment>
    <comment ref="N81" authorId="0" shapeId="0" xr:uid="{00000000-0006-0000-0300-00009B000000}">
      <text>
        <r>
          <rPr>
            <b/>
            <sz val="9"/>
            <color indexed="81"/>
            <rFont val="Tahoma"/>
            <family val="2"/>
          </rPr>
          <t>The majority of tiles are lifting, cracking / broken and require replacement - the tiles or glue are asbestos</t>
        </r>
      </text>
    </comment>
    <comment ref="L82" authorId="0" shapeId="0" xr:uid="{00000000-0006-0000-0300-00009C000000}">
      <text>
        <r>
          <rPr>
            <b/>
            <sz val="9"/>
            <color indexed="81"/>
            <rFont val="Tahoma"/>
            <family val="2"/>
          </rPr>
          <t>Severely worn or seams separating - replace</t>
        </r>
      </text>
    </comment>
    <comment ref="N82" authorId="0" shapeId="0" xr:uid="{00000000-0006-0000-0300-00009D000000}">
      <text>
        <r>
          <rPr>
            <b/>
            <sz val="9"/>
            <color indexed="81"/>
            <rFont val="Tahoma"/>
            <family val="2"/>
          </rPr>
          <t>Severely worn or seams separating - replace</t>
        </r>
      </text>
    </comment>
    <comment ref="F83" authorId="0" shapeId="0" xr:uid="{00000000-0006-0000-0300-00009E000000}">
      <text>
        <r>
          <rPr>
            <b/>
            <sz val="9"/>
            <color indexed="81"/>
            <rFont val="Tahoma"/>
            <family val="2"/>
          </rPr>
          <t>Surface feels rough and/or taking in moisture from the surface resulting in staining - prep and re-seal</t>
        </r>
      </text>
    </comment>
    <comment ref="L83" authorId="0" shapeId="0" xr:uid="{00000000-0006-0000-0300-00009F000000}">
      <text>
        <r>
          <rPr>
            <b/>
            <sz val="9"/>
            <color indexed="81"/>
            <rFont val="Tahoma"/>
            <family val="2"/>
          </rPr>
          <t>Significant cracking, but not differential - requires prep and crack filling prior to re-seal.  If differential, refer to slab on grade of floor construction above</t>
        </r>
      </text>
    </comment>
    <comment ref="N83" authorId="0" shapeId="0" xr:uid="{00000000-0006-0000-0300-0000A0000000}">
      <text>
        <r>
          <rPr>
            <b/>
            <sz val="9"/>
            <color indexed="81"/>
            <rFont val="Tahoma"/>
            <family val="2"/>
          </rPr>
          <t>Significant cracking, but not differential - requires prep and crack filling prior to re-seal.  If differential, refer to slab on grade of floor construction above</t>
        </r>
      </text>
    </comment>
    <comment ref="F84" authorId="0" shapeId="0" xr:uid="{00000000-0006-0000-0300-0000A1000000}">
      <text>
        <r>
          <rPr>
            <b/>
            <sz val="9"/>
            <color indexed="81"/>
            <rFont val="Tahoma"/>
            <family val="2"/>
          </rPr>
          <t>Grout is damaged or deteriorated</t>
        </r>
      </text>
    </comment>
    <comment ref="L84" authorId="0" shapeId="0" xr:uid="{00000000-0006-0000-0300-0000A2000000}">
      <text>
        <r>
          <rPr>
            <b/>
            <sz val="9"/>
            <color indexed="81"/>
            <rFont val="Tahoma"/>
            <family val="2"/>
          </rPr>
          <t>Tiles are cracked or in disrepair</t>
        </r>
      </text>
    </comment>
    <comment ref="N84" authorId="0" shapeId="0" xr:uid="{00000000-0006-0000-0300-0000A3000000}">
      <text>
        <r>
          <rPr>
            <b/>
            <sz val="9"/>
            <color indexed="81"/>
            <rFont val="Tahoma"/>
            <family val="2"/>
          </rPr>
          <t>Tiles are cracked or in disrepair</t>
        </r>
      </text>
    </comment>
    <comment ref="L85" authorId="0" shapeId="0" xr:uid="{00000000-0006-0000-0300-0000A4000000}">
      <text>
        <r>
          <rPr>
            <b/>
            <sz val="9"/>
            <color indexed="81"/>
            <rFont val="Tahoma"/>
            <family val="2"/>
          </rPr>
          <t>Systemic blistering or severely worn traffic areas - strip and replace</t>
        </r>
      </text>
    </comment>
    <comment ref="N85" authorId="0" shapeId="0" xr:uid="{00000000-0006-0000-0300-0000A5000000}">
      <text>
        <r>
          <rPr>
            <b/>
            <sz val="9"/>
            <color indexed="81"/>
            <rFont val="Tahoma"/>
            <family val="2"/>
          </rPr>
          <t>Systemic blistering or severely worn traffic areas - strip and replace</t>
        </r>
      </text>
    </comment>
    <comment ref="H86" authorId="0" shapeId="0" xr:uid="{00000000-0006-0000-0300-0000A6000000}">
      <text>
        <r>
          <rPr>
            <b/>
            <sz val="9"/>
            <color indexed="81"/>
            <rFont val="Tahoma"/>
            <family val="2"/>
          </rPr>
          <t>Surface is damaged - requires sanding, repair, and re-coat / re-stripe</t>
        </r>
      </text>
    </comment>
    <comment ref="L86" authorId="0" shapeId="0" xr:uid="{00000000-0006-0000-0300-0000A7000000}">
      <text>
        <r>
          <rPr>
            <b/>
            <sz val="9"/>
            <color indexed="81"/>
            <rFont val="Tahoma"/>
            <family val="2"/>
          </rPr>
          <t>Wood planks are deteriorated, separating, and multiple dead spots - replace floor</t>
        </r>
      </text>
    </comment>
    <comment ref="N86" authorId="0" shapeId="0" xr:uid="{00000000-0006-0000-0300-0000A8000000}">
      <text>
        <r>
          <rPr>
            <b/>
            <sz val="9"/>
            <color indexed="81"/>
            <rFont val="Tahoma"/>
            <family val="2"/>
          </rPr>
          <t>Wood planks are deteriorated, separating, and multiple dead spots - replace floor</t>
        </r>
      </text>
    </comment>
    <comment ref="F87" authorId="0" shapeId="0" xr:uid="{00000000-0006-0000-0300-0000A9000000}">
      <text>
        <r>
          <rPr>
            <b/>
            <sz val="9"/>
            <color indexed="81"/>
            <rFont val="Tahoma"/>
            <family val="2"/>
          </rPr>
          <t>Surface is in tact but finish is deteriorated - paint</t>
        </r>
      </text>
    </comment>
    <comment ref="H87" authorId="0" shapeId="0" xr:uid="{00000000-0006-0000-0300-0000AA000000}">
      <text>
        <r>
          <rPr>
            <b/>
            <sz val="9"/>
            <color indexed="81"/>
            <rFont val="Tahoma"/>
            <family val="2"/>
          </rPr>
          <t>Surface is damaged - patching of the surface is required prior to painting</t>
        </r>
      </text>
    </comment>
    <comment ref="L87" authorId="0" shapeId="0" xr:uid="{00000000-0006-0000-0300-0000AB000000}">
      <text>
        <r>
          <rPr>
            <b/>
            <sz val="9"/>
            <color indexed="81"/>
            <rFont val="Tahoma"/>
            <family val="2"/>
          </rPr>
          <t>Systemic failure of finish, possible water intrusion - requires removal and replacement</t>
        </r>
      </text>
    </comment>
    <comment ref="N87" authorId="0" shapeId="0" xr:uid="{00000000-0006-0000-0300-0000AC000000}">
      <text>
        <r>
          <rPr>
            <b/>
            <sz val="9"/>
            <color indexed="81"/>
            <rFont val="Tahoma"/>
            <family val="2"/>
          </rPr>
          <t>Systemic failure of finish, possible water intrusion - requires removal and replacement</t>
        </r>
      </text>
    </comment>
    <comment ref="F88" authorId="0" shapeId="0" xr:uid="{00000000-0006-0000-0300-0000AD000000}">
      <text>
        <r>
          <rPr>
            <b/>
            <sz val="9"/>
            <color indexed="81"/>
            <rFont val="Tahoma"/>
            <family val="2"/>
          </rPr>
          <t>Stained or damaged ceiling tiles</t>
        </r>
      </text>
    </comment>
    <comment ref="H88" authorId="0" shapeId="0" xr:uid="{00000000-0006-0000-0300-0000AE000000}">
      <text>
        <r>
          <rPr>
            <b/>
            <sz val="9"/>
            <color indexed="81"/>
            <rFont val="Tahoma"/>
            <family val="2"/>
          </rPr>
          <t>Diagonal bracing missing from grid</t>
        </r>
      </text>
    </comment>
    <comment ref="L88" authorId="0" shapeId="0" xr:uid="{00000000-0006-0000-0300-0000AF000000}">
      <text>
        <r>
          <rPr>
            <b/>
            <sz val="9"/>
            <color indexed="81"/>
            <rFont val="Tahoma"/>
            <family val="2"/>
          </rPr>
          <t>Grid is sagging with tiles compromised - requires replacement of system</t>
        </r>
      </text>
    </comment>
    <comment ref="N88" authorId="0" shapeId="0" xr:uid="{00000000-0006-0000-0300-0000B0000000}">
      <text>
        <r>
          <rPr>
            <b/>
            <sz val="9"/>
            <color indexed="81"/>
            <rFont val="Tahoma"/>
            <family val="2"/>
          </rPr>
          <t>Grid is sagging with tiles compromised - requires replacement of system</t>
        </r>
      </text>
    </comment>
    <comment ref="F89" authorId="0" shapeId="0" xr:uid="{00000000-0006-0000-0300-0000B1000000}">
      <text>
        <r>
          <rPr>
            <b/>
            <sz val="9"/>
            <color indexed="81"/>
            <rFont val="Tahoma"/>
            <family val="2"/>
          </rPr>
          <t>Stained or damaged ceiling tiles</t>
        </r>
      </text>
    </comment>
    <comment ref="L89" authorId="0" shapeId="0" xr:uid="{00000000-0006-0000-0300-0000B2000000}">
      <text>
        <r>
          <rPr>
            <b/>
            <sz val="9"/>
            <color indexed="81"/>
            <rFont val="Tahoma"/>
            <family val="2"/>
          </rPr>
          <t>Systemic failure of finish, possible water intrusion - requires removal and replacement</t>
        </r>
      </text>
    </comment>
    <comment ref="N89" authorId="0" shapeId="0" xr:uid="{00000000-0006-0000-0300-0000B3000000}">
      <text>
        <r>
          <rPr>
            <b/>
            <sz val="9"/>
            <color indexed="81"/>
            <rFont val="Tahoma"/>
            <family val="2"/>
          </rPr>
          <t>Systemic failure of finish, possible water intrusion - requires removal and replacement</t>
        </r>
      </text>
    </comment>
    <comment ref="L91" authorId="0" shapeId="0" xr:uid="{00000000-0006-0000-0300-0000B4000000}">
      <text>
        <r>
          <rPr>
            <b/>
            <sz val="9"/>
            <color indexed="81"/>
            <rFont val="Tahoma"/>
            <family val="2"/>
          </rPr>
          <t>Surface is in tact but finish is deteriorated - paint</t>
        </r>
      </text>
    </comment>
    <comment ref="N91" authorId="0" shapeId="0" xr:uid="{00000000-0006-0000-0300-0000B5000000}">
      <text>
        <r>
          <rPr>
            <b/>
            <sz val="9"/>
            <color indexed="81"/>
            <rFont val="Tahoma"/>
            <family val="2"/>
          </rPr>
          <t>Surface is in tact but finish is deteriorated - paint</t>
        </r>
      </text>
    </comment>
    <comment ref="C94" authorId="0" shapeId="0" xr:uid="{00000000-0006-0000-0300-0000B6000000}">
      <text>
        <r>
          <rPr>
            <b/>
            <sz val="9"/>
            <color indexed="81"/>
            <rFont val="Tahoma"/>
            <family val="2"/>
          </rPr>
          <t>Assume standard cab-style elevator</t>
        </r>
      </text>
    </comment>
    <comment ref="F94" authorId="0" shapeId="0" xr:uid="{00000000-0006-0000-0300-0000B7000000}">
      <text>
        <r>
          <rPr>
            <b/>
            <sz val="9"/>
            <color indexed="81"/>
            <rFont val="Tahoma"/>
            <family val="2"/>
          </rPr>
          <t xml:space="preserve">The elevator doors are damaged and require replacement
</t>
        </r>
      </text>
    </comment>
    <comment ref="H94" authorId="0" shapeId="0" xr:uid="{00000000-0006-0000-0300-0000B8000000}">
      <text>
        <r>
          <rPr>
            <b/>
            <sz val="9"/>
            <color indexed="81"/>
            <rFont val="Tahoma"/>
            <family val="2"/>
          </rPr>
          <t>Electrical components are not working</t>
        </r>
      </text>
    </comment>
    <comment ref="J94" authorId="0" shapeId="0" xr:uid="{00000000-0006-0000-0300-0000B9000000}">
      <text>
        <r>
          <rPr>
            <b/>
            <sz val="9"/>
            <color indexed="81"/>
            <rFont val="Tahoma"/>
            <family val="2"/>
          </rPr>
          <t>Replacement of the hoist cables, guide rails, or other similar mechanical components is required</t>
        </r>
      </text>
    </comment>
    <comment ref="L94" authorId="0" shapeId="0" xr:uid="{00000000-0006-0000-0300-0000BA000000}">
      <text>
        <r>
          <rPr>
            <b/>
            <sz val="9"/>
            <color indexed="81"/>
            <rFont val="Tahoma"/>
            <family val="2"/>
          </rPr>
          <t>Mechanical and electrical components have deteriorated requiring the replacement of the system</t>
        </r>
      </text>
    </comment>
    <comment ref="N94" authorId="0" shapeId="0" xr:uid="{00000000-0006-0000-0300-0000BB000000}">
      <text>
        <r>
          <rPr>
            <b/>
            <sz val="9"/>
            <color indexed="81"/>
            <rFont val="Tahoma"/>
            <family val="2"/>
          </rPr>
          <t>Mechanical and electrical components have deteriorated requiring the replacement of the system</t>
        </r>
      </text>
    </comment>
    <comment ref="H95" authorId="0" shapeId="0" xr:uid="{00000000-0006-0000-0300-0000BC000000}">
      <text>
        <r>
          <rPr>
            <b/>
            <sz val="9"/>
            <color indexed="81"/>
            <rFont val="Tahoma"/>
            <family val="2"/>
          </rPr>
          <t>Electrical components are not working</t>
        </r>
      </text>
    </comment>
    <comment ref="L95" authorId="0" shapeId="0" xr:uid="{00000000-0006-0000-0300-0000BD000000}">
      <text>
        <r>
          <rPr>
            <b/>
            <sz val="9"/>
            <color indexed="81"/>
            <rFont val="Tahoma"/>
            <family val="2"/>
          </rPr>
          <t>Mechanical and electrical components have deteriorated requiring the replacement of the system</t>
        </r>
      </text>
    </comment>
    <comment ref="N95" authorId="0" shapeId="0" xr:uid="{00000000-0006-0000-0300-0000BE000000}">
      <text>
        <r>
          <rPr>
            <b/>
            <sz val="9"/>
            <color indexed="81"/>
            <rFont val="Tahoma"/>
            <family val="2"/>
          </rPr>
          <t>Mechanical and electrical components have deteriorated requiring the replacement of the system</t>
        </r>
      </text>
    </comment>
    <comment ref="C96" authorId="0" shapeId="0" xr:uid="{00000000-0006-0000-0300-0000BF000000}">
      <text>
        <r>
          <rPr>
            <b/>
            <sz val="9"/>
            <color indexed="81"/>
            <rFont val="Tahoma"/>
            <family val="2"/>
          </rPr>
          <t>Assume open vertical or inclined lift</t>
        </r>
      </text>
    </comment>
    <comment ref="H96" authorId="0" shapeId="0" xr:uid="{00000000-0006-0000-0300-0000C0000000}">
      <text>
        <r>
          <rPr>
            <b/>
            <sz val="9"/>
            <color indexed="81"/>
            <rFont val="Tahoma"/>
            <family val="2"/>
          </rPr>
          <t>Electrical components are not working</t>
        </r>
      </text>
    </comment>
    <comment ref="L96" authorId="0" shapeId="0" xr:uid="{00000000-0006-0000-0300-0000C1000000}">
      <text>
        <r>
          <rPr>
            <b/>
            <sz val="9"/>
            <color indexed="81"/>
            <rFont val="Tahoma"/>
            <family val="2"/>
          </rPr>
          <t>Mechanical and electrical components have deteriorated requiring the replacement of the system</t>
        </r>
      </text>
    </comment>
    <comment ref="N96" authorId="0" shapeId="0" xr:uid="{00000000-0006-0000-0300-0000C2000000}">
      <text>
        <r>
          <rPr>
            <b/>
            <sz val="9"/>
            <color indexed="81"/>
            <rFont val="Tahoma"/>
            <family val="2"/>
          </rPr>
          <t>Mechanical and electrical components have deteriorated requiring the replacement of the system</t>
        </r>
      </text>
    </comment>
    <comment ref="C98" authorId="0" shapeId="0" xr:uid="{00000000-0006-0000-0300-0000C3000000}">
      <text>
        <r>
          <rPr>
            <b/>
            <sz val="9"/>
            <color indexed="81"/>
            <rFont val="Tahoma"/>
            <family val="2"/>
          </rPr>
          <t>All fixtures (toilets, urinals, sinks, showers, etc.) to be lumped together here</t>
        </r>
      </text>
    </comment>
    <comment ref="H98" authorId="0" shapeId="0" xr:uid="{00000000-0006-0000-0300-0000C4000000}">
      <text>
        <r>
          <rPr>
            <b/>
            <sz val="9"/>
            <color indexed="81"/>
            <rFont val="Tahoma"/>
            <family val="2"/>
          </rPr>
          <t>Flush valves or faucets are non-functional and require replacement</t>
        </r>
      </text>
    </comment>
    <comment ref="L98" authorId="0" shapeId="0" xr:uid="{00000000-0006-0000-0300-0000C5000000}">
      <text>
        <r>
          <rPr>
            <b/>
            <sz val="9"/>
            <color indexed="81"/>
            <rFont val="Tahoma"/>
            <family val="2"/>
          </rPr>
          <t>The fixture itself is broken or is not compliant with water efficiency standards</t>
        </r>
      </text>
    </comment>
    <comment ref="N98" authorId="0" shapeId="0" xr:uid="{00000000-0006-0000-0300-0000C6000000}">
      <text>
        <r>
          <rPr>
            <b/>
            <sz val="9"/>
            <color indexed="81"/>
            <rFont val="Tahoma"/>
            <family val="2"/>
          </rPr>
          <t>The fixture itself is broken or is not compliant with water efficiency standards</t>
        </r>
      </text>
    </comment>
    <comment ref="F99" authorId="0" shapeId="0" xr:uid="{00000000-0006-0000-0300-0000C7000000}">
      <text>
        <r>
          <rPr>
            <b/>
            <sz val="9"/>
            <color indexed="81"/>
            <rFont val="Tahoma"/>
            <family val="2"/>
          </rPr>
          <t xml:space="preserve">The vale stems, pressure gauges, and gate valves no longer function.
</t>
        </r>
      </text>
    </comment>
    <comment ref="H99" authorId="0" shapeId="0" xr:uid="{00000000-0006-0000-0300-0000C8000000}">
      <text>
        <r>
          <rPr>
            <b/>
            <sz val="9"/>
            <color indexed="81"/>
            <rFont val="Tahoma"/>
            <family val="2"/>
          </rPr>
          <t>The insulation on the piping is in disrepair, loose, or missing.</t>
        </r>
      </text>
    </comment>
    <comment ref="L99" authorId="0" shapeId="0" xr:uid="{00000000-0006-0000-0300-0000C9000000}">
      <text>
        <r>
          <rPr>
            <b/>
            <sz val="9"/>
            <color indexed="81"/>
            <rFont val="Tahoma"/>
            <family val="2"/>
          </rPr>
          <t>The risers are worn, damaged, or clogged beyond repair.  Replacement includes the piping, insulation, and valves</t>
        </r>
      </text>
    </comment>
    <comment ref="N99" authorId="0" shapeId="0" xr:uid="{00000000-0006-0000-0300-0000CA000000}">
      <text>
        <r>
          <rPr>
            <b/>
            <sz val="9"/>
            <color indexed="81"/>
            <rFont val="Tahoma"/>
            <family val="2"/>
          </rPr>
          <t>The risers are worn, damaged, or clogged beyond repair.  Replacement includes the piping, insulation, and valves</t>
        </r>
      </text>
    </comment>
    <comment ref="F100" authorId="0" shapeId="0" xr:uid="{00000000-0006-0000-0300-0000CB000000}">
      <text>
        <r>
          <rPr>
            <b/>
            <sz val="9"/>
            <color indexed="81"/>
            <rFont val="Tahoma"/>
            <family val="2"/>
          </rPr>
          <t>In some areas, there are back ups requiring the replacement of the broken floor or wall, clean outs, routing and cleaning the problem areas, and snaking floor drains</t>
        </r>
      </text>
    </comment>
    <comment ref="L100" authorId="0" shapeId="0" xr:uid="{00000000-0006-0000-0300-0000CC000000}">
      <text>
        <r>
          <rPr>
            <b/>
            <sz val="9"/>
            <color indexed="81"/>
            <rFont val="Tahoma"/>
            <family val="2"/>
          </rPr>
          <t>The runs and risers are deteriorated, displaced, or have systemic leaks and requires full replacement</t>
        </r>
      </text>
    </comment>
    <comment ref="N100" authorId="0" shapeId="0" xr:uid="{00000000-0006-0000-0300-0000CD000000}">
      <text>
        <r>
          <rPr>
            <b/>
            <sz val="9"/>
            <color indexed="81"/>
            <rFont val="Tahoma"/>
            <family val="2"/>
          </rPr>
          <t>The runs and risers are deteriorated, displaced, or have systemic leaks and requires full replacement</t>
        </r>
      </text>
    </comment>
    <comment ref="C101" authorId="0" shapeId="0" xr:uid="{00000000-0006-0000-0300-0000CE000000}">
      <text>
        <r>
          <rPr>
            <b/>
            <sz val="9"/>
            <color indexed="81"/>
            <rFont val="Tahoma"/>
            <family val="2"/>
          </rPr>
          <t>This is for the presence of interior rain drains; note building percentage based on area of roof served - excludes external downspouts</t>
        </r>
      </text>
    </comment>
    <comment ref="H101" authorId="0" shapeId="0" xr:uid="{00000000-0006-0000-0300-0000CF000000}">
      <text>
        <r>
          <rPr>
            <b/>
            <sz val="9"/>
            <color indexed="81"/>
            <rFont val="Tahoma"/>
            <family val="2"/>
          </rPr>
          <t>The rain drain or overflow is damaged and needs replacement</t>
        </r>
      </text>
    </comment>
    <comment ref="L101" authorId="0" shapeId="0" xr:uid="{00000000-0006-0000-0300-0000D0000000}">
      <text>
        <r>
          <rPr>
            <b/>
            <sz val="9"/>
            <color indexed="81"/>
            <rFont val="Tahoma"/>
            <family val="2"/>
          </rPr>
          <t>The integrity of the piping is compromised and is leaking inside the walls</t>
        </r>
      </text>
    </comment>
    <comment ref="N101" authorId="0" shapeId="0" xr:uid="{00000000-0006-0000-0300-0000D1000000}">
      <text>
        <r>
          <rPr>
            <b/>
            <sz val="9"/>
            <color indexed="81"/>
            <rFont val="Tahoma"/>
            <family val="2"/>
          </rPr>
          <t>The integrity of the piping is compromised and is leaking inside the walls</t>
        </r>
      </text>
    </comment>
    <comment ref="C104" authorId="0" shapeId="0" xr:uid="{00000000-0006-0000-0300-0000D2000000}">
      <text>
        <r>
          <rPr>
            <b/>
            <sz val="9"/>
            <color indexed="81"/>
            <rFont val="Tahoma"/>
            <family val="2"/>
          </rPr>
          <t>This assumes gas piping</t>
        </r>
      </text>
    </comment>
    <comment ref="F104" authorId="0" shapeId="0" xr:uid="{00000000-0006-0000-0300-0000D3000000}">
      <text>
        <r>
          <rPr>
            <b/>
            <sz val="9"/>
            <color indexed="81"/>
            <rFont val="Tahoma"/>
            <family val="2"/>
          </rPr>
          <t>The valve stems, riser gate valves, and temperature probes need to be repaired or replaced.</t>
        </r>
      </text>
    </comment>
    <comment ref="L104" authorId="0" shapeId="0" xr:uid="{00000000-0006-0000-0300-0000D4000000}">
      <text>
        <r>
          <rPr>
            <b/>
            <sz val="9"/>
            <color indexed="81"/>
            <rFont val="Tahoma"/>
            <family val="2"/>
          </rPr>
          <t>The risers are worn, damaged, or clogged beyond repair.  Replacement includes the piping, insulation, and valves</t>
        </r>
      </text>
    </comment>
    <comment ref="N104" authorId="0" shapeId="0" xr:uid="{00000000-0006-0000-0300-0000D5000000}">
      <text>
        <r>
          <rPr>
            <b/>
            <sz val="9"/>
            <color indexed="81"/>
            <rFont val="Tahoma"/>
            <family val="2"/>
          </rPr>
          <t>The risers are worn, damaged, or clogged beyond repair.  Replacement includes the piping, insulation, and valves</t>
        </r>
      </text>
    </comment>
    <comment ref="F105" authorId="0" shapeId="0" xr:uid="{00000000-0006-0000-0300-0000D6000000}">
      <text>
        <r>
          <rPr>
            <b/>
            <sz val="9"/>
            <color indexed="81"/>
            <rFont val="Tahoma"/>
            <family val="2"/>
          </rPr>
          <t>The burner is inefficient and requires refurbishment</t>
        </r>
      </text>
    </comment>
    <comment ref="H105" authorId="0" shapeId="0" xr:uid="{00000000-0006-0000-0300-0000D7000000}">
      <text>
        <r>
          <rPr>
            <b/>
            <sz val="9"/>
            <color indexed="81"/>
            <rFont val="Tahoma"/>
            <family val="2"/>
          </rPr>
          <t xml:space="preserve">One major component needs to be replaced
</t>
        </r>
      </text>
    </comment>
    <comment ref="J105" authorId="0" shapeId="0" xr:uid="{00000000-0006-0000-0300-0000D8000000}">
      <text>
        <r>
          <rPr>
            <b/>
            <sz val="9"/>
            <color indexed="81"/>
            <rFont val="Tahoma"/>
            <family val="2"/>
          </rPr>
          <t>More than one major component needs to be replaced</t>
        </r>
      </text>
    </comment>
    <comment ref="L105" authorId="0" shapeId="0" xr:uid="{00000000-0006-0000-0300-0000D9000000}">
      <text>
        <r>
          <rPr>
            <b/>
            <sz val="9"/>
            <color indexed="81"/>
            <rFont val="Tahoma"/>
            <family val="2"/>
          </rPr>
          <t>The system is in failure</t>
        </r>
      </text>
    </comment>
    <comment ref="N105" authorId="0" shapeId="0" xr:uid="{00000000-0006-0000-0300-0000DA000000}">
      <text>
        <r>
          <rPr>
            <b/>
            <sz val="9"/>
            <color indexed="81"/>
            <rFont val="Tahoma"/>
            <family val="2"/>
          </rPr>
          <t>The system is in failure</t>
        </r>
      </text>
    </comment>
    <comment ref="J106" authorId="0" shapeId="0" xr:uid="{00000000-0006-0000-0300-0000DB000000}">
      <text>
        <r>
          <rPr>
            <b/>
            <sz val="9"/>
            <color indexed="81"/>
            <rFont val="Tahoma"/>
            <family val="2"/>
          </rPr>
          <t>Some of the distribution fans and coils are dysfunctional.</t>
        </r>
      </text>
    </comment>
    <comment ref="L106" authorId="0" shapeId="0" xr:uid="{00000000-0006-0000-0300-0000DC000000}">
      <text>
        <r>
          <rPr>
            <b/>
            <sz val="9"/>
            <color indexed="81"/>
            <rFont val="Tahoma"/>
            <family val="2"/>
          </rPr>
          <t>The majority of the distribution fans or coils are dysfunctional and the primary unit is in a state of disrepair</t>
        </r>
      </text>
    </comment>
    <comment ref="N106" authorId="0" shapeId="0" xr:uid="{00000000-0006-0000-0300-0000DD000000}">
      <text>
        <r>
          <rPr>
            <b/>
            <sz val="9"/>
            <color indexed="81"/>
            <rFont val="Tahoma"/>
            <family val="2"/>
          </rPr>
          <t>The majority of the distribution fans or coils are dysfunctional and the primary unit is in a state of disrepair</t>
        </r>
      </text>
    </comment>
    <comment ref="H107" authorId="0" shapeId="0" xr:uid="{00000000-0006-0000-0300-0000DE000000}">
      <text>
        <r>
          <rPr>
            <b/>
            <sz val="9"/>
            <color indexed="81"/>
            <rFont val="Tahoma"/>
            <family val="2"/>
          </rPr>
          <t>A small number of minor parts need to be repaired or replaced</t>
        </r>
      </text>
    </comment>
    <comment ref="J107" authorId="0" shapeId="0" xr:uid="{00000000-0006-0000-0300-0000DF000000}">
      <text>
        <r>
          <rPr>
            <b/>
            <sz val="9"/>
            <color indexed="81"/>
            <rFont val="Tahoma"/>
            <family val="2"/>
          </rPr>
          <t>The burner, combustion chamber, or fan are faulty and require replacement</t>
        </r>
      </text>
    </comment>
    <comment ref="L107" authorId="0" shapeId="0" xr:uid="{00000000-0006-0000-0300-0000E0000000}">
      <text>
        <r>
          <rPr>
            <b/>
            <sz val="9"/>
            <color indexed="81"/>
            <rFont val="Tahoma"/>
            <family val="2"/>
          </rPr>
          <t xml:space="preserve">The entire furnace requires replacement
</t>
        </r>
      </text>
    </comment>
    <comment ref="N107" authorId="0" shapeId="0" xr:uid="{00000000-0006-0000-0300-0000E1000000}">
      <text>
        <r>
          <rPr>
            <b/>
            <sz val="9"/>
            <color indexed="81"/>
            <rFont val="Tahoma"/>
            <family val="2"/>
          </rPr>
          <t xml:space="preserve">The entire furnace requires replacement
</t>
        </r>
      </text>
    </comment>
    <comment ref="H108" authorId="0" shapeId="0" xr:uid="{00000000-0006-0000-0300-0000E2000000}">
      <text>
        <r>
          <rPr>
            <b/>
            <sz val="9"/>
            <color indexed="81"/>
            <rFont val="Tahoma"/>
            <family val="2"/>
          </rPr>
          <t>A small number of minor parts need to be repaired or replaced</t>
        </r>
      </text>
    </comment>
    <comment ref="J108" authorId="0" shapeId="0" xr:uid="{00000000-0006-0000-0300-0000E3000000}">
      <text>
        <r>
          <rPr>
            <b/>
            <sz val="9"/>
            <color indexed="81"/>
            <rFont val="Tahoma"/>
            <family val="2"/>
          </rPr>
          <t>System operating at low efficiency; shell exhibits corrosion.  Retube heat exchanger</t>
        </r>
      </text>
    </comment>
    <comment ref="L108" authorId="0" shapeId="0" xr:uid="{00000000-0006-0000-0300-0000E4000000}">
      <text>
        <r>
          <rPr>
            <b/>
            <sz val="9"/>
            <color indexed="81"/>
            <rFont val="Tahoma"/>
            <family val="2"/>
          </rPr>
          <t>System operates at low efficiency with corrosion and leaks apparent.  Replace system</t>
        </r>
      </text>
    </comment>
    <comment ref="N108" authorId="0" shapeId="0" xr:uid="{00000000-0006-0000-0300-0000E5000000}">
      <text>
        <r>
          <rPr>
            <b/>
            <sz val="9"/>
            <color indexed="81"/>
            <rFont val="Tahoma"/>
            <family val="2"/>
          </rPr>
          <t>System operates at low efficiency with corrosion and leaks apparent.  Replace system</t>
        </r>
      </text>
    </comment>
    <comment ref="J109" authorId="0" shapeId="0" xr:uid="{00000000-0006-0000-0300-0000E6000000}">
      <text>
        <r>
          <rPr>
            <b/>
            <sz val="9"/>
            <color indexed="81"/>
            <rFont val="Tahoma"/>
            <family val="2"/>
          </rPr>
          <t>Some of the distribution fans and coils are dysfunctional.</t>
        </r>
      </text>
    </comment>
    <comment ref="L109" authorId="0" shapeId="0" xr:uid="{00000000-0006-0000-0300-0000E7000000}">
      <text>
        <r>
          <rPr>
            <b/>
            <sz val="9"/>
            <color indexed="81"/>
            <rFont val="Tahoma"/>
            <family val="2"/>
          </rPr>
          <t>The majority of the distribution fans or coils are dysfunctional and the primary unit is in a state of disrepair</t>
        </r>
      </text>
    </comment>
    <comment ref="N109" authorId="0" shapeId="0" xr:uid="{00000000-0006-0000-0300-0000E8000000}">
      <text>
        <r>
          <rPr>
            <b/>
            <sz val="9"/>
            <color indexed="81"/>
            <rFont val="Tahoma"/>
            <family val="2"/>
          </rPr>
          <t>The majority of the distribution fans or coils are dysfunctional and the primary unit is in a state of disrepair</t>
        </r>
      </text>
    </comment>
    <comment ref="L110" authorId="0" shapeId="0" xr:uid="{00000000-0006-0000-0300-0000E9000000}">
      <text>
        <r>
          <rPr>
            <b/>
            <sz val="9"/>
            <color indexed="81"/>
            <rFont val="Tahoma"/>
            <family val="2"/>
          </rPr>
          <t>The chiller is beyond economic repair</t>
        </r>
      </text>
    </comment>
    <comment ref="N110" authorId="0" shapeId="0" xr:uid="{00000000-0006-0000-0300-0000EA000000}">
      <text>
        <r>
          <rPr>
            <b/>
            <sz val="9"/>
            <color indexed="81"/>
            <rFont val="Tahoma"/>
            <family val="2"/>
          </rPr>
          <t>The chiller is beyond economic repair</t>
        </r>
      </text>
    </comment>
    <comment ref="H111" authorId="0" shapeId="0" xr:uid="{00000000-0006-0000-0300-0000EB000000}">
      <text>
        <r>
          <rPr>
            <b/>
            <sz val="9"/>
            <color indexed="81"/>
            <rFont val="Tahoma"/>
            <family val="2"/>
          </rPr>
          <t>Dampers in the system are inoperative</t>
        </r>
      </text>
    </comment>
    <comment ref="J111" authorId="0" shapeId="0" xr:uid="{00000000-0006-0000-0300-0000EC000000}">
      <text>
        <r>
          <rPr>
            <b/>
            <sz val="9"/>
            <color indexed="81"/>
            <rFont val="Tahoma"/>
            <family val="2"/>
          </rPr>
          <t>The insulation is damaged or missing</t>
        </r>
      </text>
    </comment>
    <comment ref="L111" authorId="0" shapeId="0" xr:uid="{00000000-0006-0000-0300-0000ED000000}">
      <text>
        <r>
          <rPr>
            <b/>
            <sz val="9"/>
            <color indexed="81"/>
            <rFont val="Tahoma"/>
            <family val="2"/>
          </rPr>
          <t>The ductwork is damaged or inadequately designed and requires replacement</t>
        </r>
      </text>
    </comment>
    <comment ref="N111" authorId="0" shapeId="0" xr:uid="{00000000-0006-0000-0300-0000EE000000}">
      <text>
        <r>
          <rPr>
            <b/>
            <sz val="9"/>
            <color indexed="81"/>
            <rFont val="Tahoma"/>
            <family val="2"/>
          </rPr>
          <t>The ductwork is damaged or inadequately designed and requires replacement</t>
        </r>
      </text>
    </comment>
    <comment ref="F112" authorId="0" shapeId="0" xr:uid="{00000000-0006-0000-0300-0000EF000000}">
      <text>
        <r>
          <rPr>
            <b/>
            <sz val="9"/>
            <color indexed="81"/>
            <rFont val="Tahoma"/>
            <family val="2"/>
          </rPr>
          <t>The valve stems, riser gate valves, and temperature probes need to be repaired or replaced.</t>
        </r>
      </text>
    </comment>
    <comment ref="H112" authorId="0" shapeId="0" xr:uid="{00000000-0006-0000-0300-0000F0000000}">
      <text>
        <r>
          <rPr>
            <b/>
            <sz val="9"/>
            <color indexed="81"/>
            <rFont val="Tahoma"/>
            <family val="2"/>
          </rPr>
          <t>The insulation on the piping is in disrepair, loose, or missing.</t>
        </r>
      </text>
    </comment>
    <comment ref="L112" authorId="0" shapeId="0" xr:uid="{00000000-0006-0000-0300-0000F1000000}">
      <text>
        <r>
          <rPr>
            <b/>
            <sz val="9"/>
            <color indexed="81"/>
            <rFont val="Tahoma"/>
            <family val="2"/>
          </rPr>
          <t>The risers are worn, damaged, or clogged beyond repair.  Replacement includes the piping, insulation, and valves</t>
        </r>
      </text>
    </comment>
    <comment ref="N112" authorId="0" shapeId="0" xr:uid="{00000000-0006-0000-0300-0000F2000000}">
      <text>
        <r>
          <rPr>
            <b/>
            <sz val="9"/>
            <color indexed="81"/>
            <rFont val="Tahoma"/>
            <family val="2"/>
          </rPr>
          <t>The risers are worn, damaged, or clogged beyond repair.  Replacement includes the piping, insulation, and valves</t>
        </r>
      </text>
    </comment>
    <comment ref="L113" authorId="0" shapeId="0" xr:uid="{00000000-0006-0000-0300-0000F3000000}">
      <text>
        <r>
          <rPr>
            <b/>
            <sz val="9"/>
            <color indexed="81"/>
            <rFont val="Tahoma"/>
            <family val="2"/>
          </rPr>
          <t>Entire unit is failing to function</t>
        </r>
      </text>
    </comment>
    <comment ref="N113" authorId="0" shapeId="0" xr:uid="{00000000-0006-0000-0300-0000F4000000}">
      <text>
        <r>
          <rPr>
            <b/>
            <sz val="9"/>
            <color indexed="81"/>
            <rFont val="Tahoma"/>
            <family val="2"/>
          </rPr>
          <t>Entire unit is failing to function</t>
        </r>
      </text>
    </comment>
    <comment ref="H114" authorId="0" shapeId="0" xr:uid="{00000000-0006-0000-0300-0000F5000000}">
      <text>
        <r>
          <rPr>
            <b/>
            <sz val="9"/>
            <color indexed="81"/>
            <rFont val="Tahoma"/>
            <family val="2"/>
          </rPr>
          <t>Internal compressor is bad and requires replacement</t>
        </r>
      </text>
    </comment>
    <comment ref="L114" authorId="0" shapeId="0" xr:uid="{00000000-0006-0000-0300-0000F6000000}">
      <text>
        <r>
          <rPr>
            <b/>
            <sz val="9"/>
            <color indexed="81"/>
            <rFont val="Tahoma"/>
            <family val="2"/>
          </rPr>
          <t>Entire unit is failing to function</t>
        </r>
      </text>
    </comment>
    <comment ref="N114" authorId="0" shapeId="0" xr:uid="{00000000-0006-0000-0300-0000F7000000}">
      <text>
        <r>
          <rPr>
            <b/>
            <sz val="9"/>
            <color indexed="81"/>
            <rFont val="Tahoma"/>
            <family val="2"/>
          </rPr>
          <t>Entire unit is failing to function</t>
        </r>
      </text>
    </comment>
    <comment ref="F115" authorId="0" shapeId="0" xr:uid="{00000000-0006-0000-0300-0000F8000000}">
      <text>
        <r>
          <rPr>
            <b/>
            <sz val="9"/>
            <color indexed="81"/>
            <rFont val="Tahoma"/>
            <family val="2"/>
          </rPr>
          <t>In-room valve is failing and requires replacement</t>
        </r>
      </text>
    </comment>
    <comment ref="L115" authorId="0" shapeId="0" xr:uid="{00000000-0006-0000-0300-0000F9000000}">
      <text>
        <r>
          <rPr>
            <b/>
            <sz val="9"/>
            <color indexed="81"/>
            <rFont val="Tahoma"/>
            <family val="2"/>
          </rPr>
          <t>Entire unit is failing to function</t>
        </r>
      </text>
    </comment>
    <comment ref="N115" authorId="0" shapeId="0" xr:uid="{00000000-0006-0000-0300-0000FA000000}">
      <text>
        <r>
          <rPr>
            <b/>
            <sz val="9"/>
            <color indexed="81"/>
            <rFont val="Tahoma"/>
            <family val="2"/>
          </rPr>
          <t>Entire unit is failing to function</t>
        </r>
      </text>
    </comment>
    <comment ref="J116" authorId="0" shapeId="0" xr:uid="{00000000-0006-0000-0300-0000FB000000}">
      <text>
        <r>
          <rPr>
            <b/>
            <sz val="9"/>
            <color indexed="81"/>
            <rFont val="Tahoma"/>
            <family val="2"/>
          </rPr>
          <t>Some of the sensors or valve actuators are dysfunctional.  Replace these sensors or actuators</t>
        </r>
      </text>
    </comment>
    <comment ref="L116" authorId="0" shapeId="0" xr:uid="{00000000-0006-0000-0300-0000FC000000}">
      <text>
        <r>
          <rPr>
            <b/>
            <sz val="9"/>
            <color indexed="81"/>
            <rFont val="Tahoma"/>
            <family val="2"/>
          </rPr>
          <t>The majority of sensors or actuators are faulty, and the system software is dysfunctional OR the system is an older / obsolete pneumatic system - replace</t>
        </r>
      </text>
    </comment>
    <comment ref="N116" authorId="0" shapeId="0" xr:uid="{00000000-0006-0000-0300-0000FD000000}">
      <text>
        <r>
          <rPr>
            <b/>
            <sz val="9"/>
            <color indexed="81"/>
            <rFont val="Tahoma"/>
            <family val="2"/>
          </rPr>
          <t>The majority of sensors or actuators are faulty, and the system software is dysfunctional OR the system is an older / obsolete pneumatic system - replace</t>
        </r>
      </text>
    </comment>
    <comment ref="L117" authorId="0" shapeId="0" xr:uid="{00000000-0006-0000-0300-0000FE000000}">
      <text>
        <r>
          <rPr>
            <b/>
            <sz val="9"/>
            <color indexed="81"/>
            <rFont val="Tahoma"/>
            <family val="2"/>
          </rPr>
          <t>One or more zones require re-balancing</t>
        </r>
      </text>
    </comment>
    <comment ref="N117" authorId="0" shapeId="0" xr:uid="{00000000-0006-0000-0300-0000FF000000}">
      <text>
        <r>
          <rPr>
            <b/>
            <sz val="9"/>
            <color indexed="81"/>
            <rFont val="Tahoma"/>
            <family val="2"/>
          </rPr>
          <t>One or more zones require re-balancing</t>
        </r>
      </text>
    </comment>
    <comment ref="H120" authorId="0" shapeId="0" xr:uid="{00000000-0006-0000-0300-000000010000}">
      <text>
        <r>
          <rPr>
            <b/>
            <sz val="9"/>
            <color indexed="81"/>
            <rFont val="Tahoma"/>
            <family val="2"/>
          </rPr>
          <t>Sprinkler heads are inoperable or non-compliant and need to be replaced</t>
        </r>
      </text>
    </comment>
    <comment ref="L120" authorId="0" shapeId="0" xr:uid="{00000000-0006-0000-0300-000001010000}">
      <text>
        <r>
          <rPr>
            <b/>
            <sz val="9"/>
            <color indexed="81"/>
            <rFont val="Tahoma"/>
            <family val="2"/>
          </rPr>
          <t>The piping has deteriorated or clogged or is non-compliant and needs to be replaced, including heads</t>
        </r>
      </text>
    </comment>
    <comment ref="N120" authorId="0" shapeId="0" xr:uid="{00000000-0006-0000-0300-000002010000}">
      <text>
        <r>
          <rPr>
            <b/>
            <sz val="9"/>
            <color indexed="81"/>
            <rFont val="Tahoma"/>
            <family val="2"/>
          </rPr>
          <t>The piping has deteriorated or clogged or is non-compliant and needs to be replaced, including heads</t>
        </r>
      </text>
    </comment>
    <comment ref="H121" authorId="0" shapeId="0" xr:uid="{00000000-0006-0000-0300-000003010000}">
      <text>
        <r>
          <rPr>
            <b/>
            <sz val="9"/>
            <color indexed="81"/>
            <rFont val="Tahoma"/>
            <family val="2"/>
          </rPr>
          <t>The Siamese twin connection, tamper flow switches, or flow control valves are inoperable and need to be replaced</t>
        </r>
      </text>
    </comment>
    <comment ref="L121" authorId="0" shapeId="0" xr:uid="{00000000-0006-0000-0300-000004010000}">
      <text>
        <r>
          <rPr>
            <b/>
            <sz val="9"/>
            <color indexed="81"/>
            <rFont val="Tahoma"/>
            <family val="2"/>
          </rPr>
          <t xml:space="preserve">The fire pump is beyond repair and needs to be replaced
</t>
        </r>
      </text>
    </comment>
    <comment ref="N121" authorId="0" shapeId="0" xr:uid="{00000000-0006-0000-0300-000005010000}">
      <text>
        <r>
          <rPr>
            <b/>
            <sz val="9"/>
            <color indexed="81"/>
            <rFont val="Tahoma"/>
            <family val="2"/>
          </rPr>
          <t xml:space="preserve">The fire pump is beyond repair and needs to be replaced
</t>
        </r>
      </text>
    </comment>
    <comment ref="C122" authorId="0" shapeId="0" xr:uid="{00000000-0006-0000-0300-000006010000}">
      <text>
        <r>
          <rPr>
            <b/>
            <sz val="9"/>
            <color indexed="81"/>
            <rFont val="Tahoma"/>
            <family val="2"/>
          </rPr>
          <t>Assume chemical extinguishing system</t>
        </r>
      </text>
    </comment>
    <comment ref="H122" authorId="0" shapeId="0" xr:uid="{00000000-0006-0000-0300-000007010000}">
      <text>
        <r>
          <rPr>
            <b/>
            <sz val="9"/>
            <color indexed="81"/>
            <rFont val="Tahoma"/>
            <family val="2"/>
          </rPr>
          <t>The back-up tank has been discharged or lacks pressure and needs to be replaced</t>
        </r>
      </text>
    </comment>
    <comment ref="L122" authorId="0" shapeId="0" xr:uid="{00000000-0006-0000-0300-000008010000}">
      <text>
        <r>
          <rPr>
            <b/>
            <sz val="9"/>
            <color indexed="81"/>
            <rFont val="Tahoma"/>
            <family val="2"/>
          </rPr>
          <t>The system is non-functional or not compliant with the current needs and needs to be replaced</t>
        </r>
      </text>
    </comment>
    <comment ref="N122" authorId="0" shapeId="0" xr:uid="{00000000-0006-0000-0300-000009010000}">
      <text>
        <r>
          <rPr>
            <b/>
            <sz val="9"/>
            <color indexed="81"/>
            <rFont val="Tahoma"/>
            <family val="2"/>
          </rPr>
          <t>The system is non-functional or not compliant with the current needs and needs to be replaced</t>
        </r>
      </text>
    </comment>
    <comment ref="H125" authorId="0" shapeId="0" xr:uid="{00000000-0006-0000-0300-00000A010000}">
      <text>
        <r>
          <rPr>
            <b/>
            <sz val="9"/>
            <color indexed="81"/>
            <rFont val="Tahoma"/>
            <family val="2"/>
          </rPr>
          <t>Wiring has systemic problems or does not meet code and needs to be replaced</t>
        </r>
      </text>
    </comment>
    <comment ref="J125" authorId="0" shapeId="0" xr:uid="{00000000-0006-0000-0300-00000B010000}">
      <text>
        <r>
          <rPr>
            <b/>
            <sz val="9"/>
            <color indexed="81"/>
            <rFont val="Tahoma"/>
            <family val="2"/>
          </rPr>
          <t>Branch panels are obsolete with replacement breakers difficult to acquire and requires replacement</t>
        </r>
      </text>
    </comment>
    <comment ref="L125" authorId="0" shapeId="0" xr:uid="{00000000-0006-0000-0300-00000C010000}">
      <text>
        <r>
          <rPr>
            <b/>
            <sz val="9"/>
            <color indexed="81"/>
            <rFont val="Tahoma"/>
            <family val="2"/>
          </rPr>
          <t>Main switchgear is obsolete or undersized and requires replacement, including service into building</t>
        </r>
      </text>
    </comment>
    <comment ref="N125" authorId="0" shapeId="0" xr:uid="{00000000-0006-0000-0300-00000D010000}">
      <text>
        <r>
          <rPr>
            <b/>
            <sz val="9"/>
            <color indexed="81"/>
            <rFont val="Tahoma"/>
            <family val="2"/>
          </rPr>
          <t>Main switchgear is obsolete or undersized and requires replacement, including service into building</t>
        </r>
      </text>
    </comment>
    <comment ref="J126" authorId="0" shapeId="0" xr:uid="{00000000-0006-0000-0300-00000E010000}">
      <text>
        <r>
          <rPr>
            <b/>
            <sz val="9"/>
            <color indexed="81"/>
            <rFont val="Tahoma"/>
            <family val="2"/>
          </rPr>
          <t>The lighting fixtures are obsolete or non-functional and require replacement</t>
        </r>
      </text>
    </comment>
    <comment ref="L126" authorId="0" shapeId="0" xr:uid="{00000000-0006-0000-0300-00000F010000}">
      <text>
        <r>
          <rPr>
            <b/>
            <sz val="9"/>
            <color indexed="81"/>
            <rFont val="Tahoma"/>
            <family val="2"/>
          </rPr>
          <t>Replacement of fixtures is requiring the replacement of the wiring as well - includes fixtures AND wiring</t>
        </r>
      </text>
    </comment>
    <comment ref="N126" authorId="0" shapeId="0" xr:uid="{00000000-0006-0000-0300-000010010000}">
      <text>
        <r>
          <rPr>
            <b/>
            <sz val="9"/>
            <color indexed="81"/>
            <rFont val="Tahoma"/>
            <family val="2"/>
          </rPr>
          <t>Replacement of fixtures is requiring the replacement of the wiring as well - includes fixtures AND wiring</t>
        </r>
      </text>
    </comment>
    <comment ref="H127" authorId="0" shapeId="0" xr:uid="{00000000-0006-0000-0300-000011010000}">
      <text>
        <r>
          <rPr>
            <b/>
            <sz val="9"/>
            <color indexed="81"/>
            <rFont val="Tahoma"/>
            <family val="2"/>
          </rPr>
          <t>There are individual devices that are not functional.</t>
        </r>
      </text>
    </comment>
    <comment ref="J127" authorId="0" shapeId="0" xr:uid="{00000000-0006-0000-0300-000012010000}">
      <text>
        <r>
          <rPr>
            <b/>
            <sz val="9"/>
            <color indexed="81"/>
            <rFont val="Tahoma"/>
            <family val="2"/>
          </rPr>
          <t xml:space="preserve">The master control panel is obsolete or not functional
</t>
        </r>
      </text>
    </comment>
    <comment ref="L127" authorId="0" shapeId="0" xr:uid="{00000000-0006-0000-0300-000013010000}">
      <text>
        <r>
          <rPr>
            <b/>
            <sz val="9"/>
            <color indexed="81"/>
            <rFont val="Tahoma"/>
            <family val="2"/>
          </rPr>
          <t>The system is obsolete or works intermittently in multiple areas and requires a system replacement</t>
        </r>
      </text>
    </comment>
    <comment ref="N127" authorId="0" shapeId="0" xr:uid="{00000000-0006-0000-0300-000014010000}">
      <text>
        <r>
          <rPr>
            <b/>
            <sz val="9"/>
            <color indexed="81"/>
            <rFont val="Tahoma"/>
            <family val="2"/>
          </rPr>
          <t>The system is obsolete or works intermittently in multiple areas and requires a system replacement</t>
        </r>
      </text>
    </comment>
    <comment ref="H128" authorId="0" shapeId="0" xr:uid="{00000000-0006-0000-0300-000015010000}">
      <text>
        <r>
          <rPr>
            <b/>
            <sz val="9"/>
            <color indexed="81"/>
            <rFont val="Tahoma"/>
            <family val="2"/>
          </rPr>
          <t>There are individual devices that are not functional.</t>
        </r>
      </text>
    </comment>
    <comment ref="J128" authorId="0" shapeId="0" xr:uid="{00000000-0006-0000-0300-000016010000}">
      <text>
        <r>
          <rPr>
            <b/>
            <sz val="9"/>
            <color indexed="81"/>
            <rFont val="Tahoma"/>
            <family val="2"/>
          </rPr>
          <t xml:space="preserve">The master control panel is obsolete or not functional
</t>
        </r>
      </text>
    </comment>
    <comment ref="L128" authorId="0" shapeId="0" xr:uid="{00000000-0006-0000-0300-000017010000}">
      <text>
        <r>
          <rPr>
            <b/>
            <sz val="9"/>
            <color indexed="81"/>
            <rFont val="Tahoma"/>
            <family val="2"/>
          </rPr>
          <t>The system is obsolete or works intermittently in multiple areas and requires a system replacement</t>
        </r>
      </text>
    </comment>
    <comment ref="N128" authorId="0" shapeId="0" xr:uid="{00000000-0006-0000-0300-000018010000}">
      <text>
        <r>
          <rPr>
            <b/>
            <sz val="9"/>
            <color indexed="81"/>
            <rFont val="Tahoma"/>
            <family val="2"/>
          </rPr>
          <t>The system is obsolete or works intermittently in multiple areas and requires a system replacement</t>
        </r>
      </text>
    </comment>
    <comment ref="H129" authorId="0" shapeId="0" xr:uid="{00000000-0006-0000-0300-000019010000}">
      <text>
        <r>
          <rPr>
            <b/>
            <sz val="9"/>
            <color indexed="81"/>
            <rFont val="Tahoma"/>
            <family val="2"/>
          </rPr>
          <t>There are individual devices that are not functional.</t>
        </r>
      </text>
    </comment>
    <comment ref="J129" authorId="0" shapeId="0" xr:uid="{00000000-0006-0000-0300-00001A010000}">
      <text>
        <r>
          <rPr>
            <b/>
            <sz val="9"/>
            <color indexed="81"/>
            <rFont val="Tahoma"/>
            <family val="2"/>
          </rPr>
          <t xml:space="preserve">The master control panel is obsolete or not functional
</t>
        </r>
      </text>
    </comment>
    <comment ref="L129" authorId="0" shapeId="0" xr:uid="{00000000-0006-0000-0300-00001B010000}">
      <text>
        <r>
          <rPr>
            <b/>
            <sz val="9"/>
            <color indexed="81"/>
            <rFont val="Tahoma"/>
            <family val="2"/>
          </rPr>
          <t>The system is obsolete or works intermittently in multiple areas and requires a system replacement</t>
        </r>
      </text>
    </comment>
    <comment ref="N129" authorId="0" shapeId="0" xr:uid="{00000000-0006-0000-0300-00001C010000}">
      <text>
        <r>
          <rPr>
            <b/>
            <sz val="9"/>
            <color indexed="81"/>
            <rFont val="Tahoma"/>
            <family val="2"/>
          </rPr>
          <t>The system is obsolete or works intermittently in multiple areas and requires a system replacement</t>
        </r>
      </text>
    </comment>
    <comment ref="H130" authorId="0" shapeId="0" xr:uid="{00000000-0006-0000-0300-00001D010000}">
      <text>
        <r>
          <rPr>
            <b/>
            <sz val="9"/>
            <color indexed="81"/>
            <rFont val="Tahoma"/>
            <family val="2"/>
          </rPr>
          <t>There are individual devices that are not functional.</t>
        </r>
      </text>
    </comment>
    <comment ref="J130" authorId="0" shapeId="0" xr:uid="{00000000-0006-0000-0300-00001E010000}">
      <text>
        <r>
          <rPr>
            <b/>
            <sz val="9"/>
            <color indexed="81"/>
            <rFont val="Tahoma"/>
            <family val="2"/>
          </rPr>
          <t xml:space="preserve">The master control panel is obsolete or not functional
</t>
        </r>
      </text>
    </comment>
    <comment ref="L130" authorId="0" shapeId="0" xr:uid="{00000000-0006-0000-0300-00001F010000}">
      <text>
        <r>
          <rPr>
            <b/>
            <sz val="9"/>
            <color indexed="81"/>
            <rFont val="Tahoma"/>
            <family val="2"/>
          </rPr>
          <t>The system is obsolete or works intermittently in multiple areas and requires a system replacement</t>
        </r>
      </text>
    </comment>
    <comment ref="N130" authorId="0" shapeId="0" xr:uid="{00000000-0006-0000-0300-000020010000}">
      <text>
        <r>
          <rPr>
            <b/>
            <sz val="9"/>
            <color indexed="81"/>
            <rFont val="Tahoma"/>
            <family val="2"/>
          </rPr>
          <t>The system is obsolete or works intermittently in multiple areas and requires a system replacement</t>
        </r>
      </text>
    </comment>
    <comment ref="H131" authorId="0" shapeId="0" xr:uid="{00000000-0006-0000-0300-000021010000}">
      <text>
        <r>
          <rPr>
            <b/>
            <sz val="9"/>
            <color indexed="81"/>
            <rFont val="Tahoma"/>
            <family val="2"/>
          </rPr>
          <t>There are individual devices that are not functional.</t>
        </r>
      </text>
    </comment>
    <comment ref="J131" authorId="0" shapeId="0" xr:uid="{00000000-0006-0000-0300-000022010000}">
      <text>
        <r>
          <rPr>
            <b/>
            <sz val="9"/>
            <color indexed="81"/>
            <rFont val="Tahoma"/>
            <family val="2"/>
          </rPr>
          <t xml:space="preserve">The master control panel is obsolete or not functional
</t>
        </r>
      </text>
    </comment>
    <comment ref="L131" authorId="0" shapeId="0" xr:uid="{00000000-0006-0000-0300-000023010000}">
      <text>
        <r>
          <rPr>
            <b/>
            <sz val="9"/>
            <color indexed="81"/>
            <rFont val="Tahoma"/>
            <family val="2"/>
          </rPr>
          <t>The system is obsolete or works intermittently in multiple areas and requires a system replacement</t>
        </r>
      </text>
    </comment>
    <comment ref="N131" authorId="0" shapeId="0" xr:uid="{00000000-0006-0000-0300-000024010000}">
      <text>
        <r>
          <rPr>
            <b/>
            <sz val="9"/>
            <color indexed="81"/>
            <rFont val="Tahoma"/>
            <family val="2"/>
          </rPr>
          <t>The system is obsolete or works intermittently in multiple areas and requires a system replacement</t>
        </r>
      </text>
    </comment>
    <comment ref="H132" authorId="0" shapeId="0" xr:uid="{00000000-0006-0000-0300-000025010000}">
      <text>
        <r>
          <rPr>
            <b/>
            <sz val="9"/>
            <color indexed="81"/>
            <rFont val="Tahoma"/>
            <family val="2"/>
          </rPr>
          <t>There are individual devices that are not functional or in regular alarm</t>
        </r>
      </text>
    </comment>
    <comment ref="J132" authorId="0" shapeId="0" xr:uid="{00000000-0006-0000-0300-000026010000}">
      <text>
        <r>
          <rPr>
            <b/>
            <sz val="9"/>
            <color indexed="81"/>
            <rFont val="Tahoma"/>
            <family val="2"/>
          </rPr>
          <t xml:space="preserve">The master control panel is obsolete or not functional
</t>
        </r>
      </text>
    </comment>
    <comment ref="L132" authorId="0" shapeId="0" xr:uid="{00000000-0006-0000-0300-000027010000}">
      <text>
        <r>
          <rPr>
            <b/>
            <sz val="9"/>
            <color indexed="81"/>
            <rFont val="Tahoma"/>
            <family val="2"/>
          </rPr>
          <t>The entire system is dysfunctional and constantly in trouble mode with areas not fully covered.  Remove and replace system</t>
        </r>
      </text>
    </comment>
    <comment ref="N132" authorId="0" shapeId="0" xr:uid="{00000000-0006-0000-0300-000028010000}">
      <text>
        <r>
          <rPr>
            <b/>
            <sz val="9"/>
            <color indexed="81"/>
            <rFont val="Tahoma"/>
            <family val="2"/>
          </rPr>
          <t>The entire system is dysfunctional and constantly in trouble mode with areas not fully covered.  Remove and replace system</t>
        </r>
      </text>
    </comment>
    <comment ref="F133" authorId="0" shapeId="0" xr:uid="{00000000-0006-0000-0300-000029010000}">
      <text>
        <r>
          <rPr>
            <b/>
            <sz val="9"/>
            <color indexed="81"/>
            <rFont val="Tahoma"/>
            <family val="2"/>
          </rPr>
          <t>Individual room sensors are failing and require replacement</t>
        </r>
      </text>
    </comment>
    <comment ref="J133" authorId="0" shapeId="0" xr:uid="{00000000-0006-0000-0300-00002A010000}">
      <text>
        <r>
          <rPr>
            <b/>
            <sz val="9"/>
            <color indexed="81"/>
            <rFont val="Tahoma"/>
            <family val="2"/>
          </rPr>
          <t>The central control panel and software need upgraded</t>
        </r>
      </text>
    </comment>
    <comment ref="L133" authorId="0" shapeId="0" xr:uid="{00000000-0006-0000-0300-00002B010000}">
      <text>
        <r>
          <rPr>
            <b/>
            <sz val="9"/>
            <color indexed="81"/>
            <rFont val="Tahoma"/>
            <family val="2"/>
          </rPr>
          <t>The entire system is in failure and requires replacement of sensors, wiring and central panel</t>
        </r>
      </text>
    </comment>
    <comment ref="N133" authorId="0" shapeId="0" xr:uid="{00000000-0006-0000-0300-00002C010000}">
      <text>
        <r>
          <rPr>
            <b/>
            <sz val="9"/>
            <color indexed="81"/>
            <rFont val="Tahoma"/>
            <family val="2"/>
          </rPr>
          <t>The entire system is in failure and requires replacement of sensors, wiring and central panel</t>
        </r>
      </text>
    </comment>
    <comment ref="F138" authorId="0" shapeId="0" xr:uid="{00000000-0006-0000-0300-00002D010000}">
      <text>
        <r>
          <rPr>
            <b/>
            <sz val="9"/>
            <color indexed="81"/>
            <rFont val="Tahoma"/>
            <family val="2"/>
          </rPr>
          <t>2-3 pieces of equipment require replacement</t>
        </r>
      </text>
    </comment>
    <comment ref="H138" authorId="0" shapeId="0" xr:uid="{00000000-0006-0000-0300-00002E010000}">
      <text>
        <r>
          <rPr>
            <b/>
            <sz val="9"/>
            <color indexed="81"/>
            <rFont val="Tahoma"/>
            <family val="2"/>
          </rPr>
          <t>Counters and sinks are not code compliant and require replacement with stainless steel and sink system</t>
        </r>
      </text>
    </comment>
    <comment ref="J138" authorId="0" shapeId="0" xr:uid="{00000000-0006-0000-0300-00002F010000}">
      <text>
        <r>
          <rPr>
            <b/>
            <sz val="9"/>
            <color indexed="81"/>
            <rFont val="Tahoma"/>
            <family val="2"/>
          </rPr>
          <t>Walk-in cooler and freezer are not functional or function intermittently and require replacement</t>
        </r>
      </text>
    </comment>
    <comment ref="L138" authorId="0" shapeId="0" xr:uid="{00000000-0006-0000-0300-000030010000}">
      <text>
        <r>
          <rPr>
            <b/>
            <sz val="9"/>
            <color indexed="81"/>
            <rFont val="Tahoma"/>
            <family val="2"/>
          </rPr>
          <t>Walk-ins and kitchen design does not meet current functional requirements or has become obsolete and requires complete replacement as a full prep kitchen</t>
        </r>
      </text>
    </comment>
    <comment ref="N138" authorId="0" shapeId="0" xr:uid="{00000000-0006-0000-0300-000031010000}">
      <text>
        <r>
          <rPr>
            <b/>
            <sz val="9"/>
            <color indexed="81"/>
            <rFont val="Tahoma"/>
            <family val="2"/>
          </rPr>
          <t>Walk-ins and kitchen design does not meet current functional requirements or has become obsolete and requires complete replacement as a full prep kitchen</t>
        </r>
      </text>
    </comment>
    <comment ref="F139" authorId="0" shapeId="0" xr:uid="{00000000-0006-0000-0300-000032010000}">
      <text>
        <r>
          <rPr>
            <b/>
            <sz val="9"/>
            <color indexed="81"/>
            <rFont val="Tahoma"/>
            <family val="2"/>
          </rPr>
          <t>2-3 pieces of equipment require replacement</t>
        </r>
      </text>
    </comment>
    <comment ref="J139" authorId="0" shapeId="0" xr:uid="{00000000-0006-0000-0300-000033010000}">
      <text>
        <r>
          <rPr>
            <b/>
            <sz val="9"/>
            <color indexed="81"/>
            <rFont val="Tahoma"/>
            <family val="2"/>
          </rPr>
          <t>Mechanical and electrical service upgrades are required to meet code and amount of program equipment</t>
        </r>
      </text>
    </comment>
    <comment ref="L139" authorId="0" shapeId="0" xr:uid="{00000000-0006-0000-0300-000034010000}">
      <text>
        <r>
          <rPr>
            <b/>
            <sz val="9"/>
            <color indexed="81"/>
            <rFont val="Tahoma"/>
            <family val="2"/>
          </rPr>
          <t>Both mechanical and electrical AND equipment needs replacement to meet program criteria and code</t>
        </r>
      </text>
    </comment>
    <comment ref="N139" authorId="0" shapeId="0" xr:uid="{00000000-0006-0000-0300-000035010000}">
      <text>
        <r>
          <rPr>
            <b/>
            <sz val="9"/>
            <color indexed="81"/>
            <rFont val="Tahoma"/>
            <family val="2"/>
          </rPr>
          <t>Both mechanical and electrical AND equipment needs replacement to meet program criteria and code</t>
        </r>
      </text>
    </comment>
    <comment ref="H140" authorId="0" shapeId="0" xr:uid="{00000000-0006-0000-0300-000036010000}">
      <text>
        <r>
          <rPr>
            <b/>
            <sz val="9"/>
            <color indexed="81"/>
            <rFont val="Tahoma"/>
            <family val="2"/>
          </rPr>
          <t>Room lacking (and needing) eye wash or fume hood</t>
        </r>
      </text>
    </comment>
    <comment ref="J140" authorId="0" shapeId="0" xr:uid="{00000000-0006-0000-0300-000037010000}">
      <text>
        <r>
          <rPr>
            <b/>
            <sz val="9"/>
            <color indexed="81"/>
            <rFont val="Tahoma"/>
            <family val="2"/>
          </rPr>
          <t>Sinks are in disrepair and require replacement</t>
        </r>
      </text>
    </comment>
    <comment ref="L140" authorId="0" shapeId="0" xr:uid="{00000000-0006-0000-0300-000038010000}">
      <text>
        <r>
          <rPr>
            <b/>
            <sz val="9"/>
            <color indexed="81"/>
            <rFont val="Tahoma"/>
            <family val="2"/>
          </rPr>
          <t>Work stations need upgrades to meet current program criteria - replace</t>
        </r>
      </text>
    </comment>
    <comment ref="N140" authorId="0" shapeId="0" xr:uid="{00000000-0006-0000-0300-000039010000}">
      <text>
        <r>
          <rPr>
            <b/>
            <sz val="9"/>
            <color indexed="81"/>
            <rFont val="Tahoma"/>
            <family val="2"/>
          </rPr>
          <t>Work stations need upgrades to meet current program criteria - replace</t>
        </r>
      </text>
    </comment>
    <comment ref="H141" authorId="0" shapeId="0" xr:uid="{00000000-0006-0000-0300-00003A010000}">
      <text>
        <r>
          <rPr>
            <b/>
            <sz val="9"/>
            <color indexed="81"/>
            <rFont val="Tahoma"/>
            <family val="2"/>
          </rPr>
          <t>Storage units damaged or in disrepair</t>
        </r>
      </text>
    </comment>
    <comment ref="J141" authorId="0" shapeId="0" xr:uid="{00000000-0006-0000-0300-00003B010000}">
      <text>
        <r>
          <rPr>
            <b/>
            <sz val="9"/>
            <color indexed="81"/>
            <rFont val="Tahoma"/>
            <family val="2"/>
          </rPr>
          <t>Sinks are in disrepair and require replacement</t>
        </r>
      </text>
    </comment>
    <comment ref="L141" authorId="0" shapeId="0" xr:uid="{00000000-0006-0000-0300-00003C010000}">
      <text>
        <r>
          <rPr>
            <b/>
            <sz val="9"/>
            <color indexed="81"/>
            <rFont val="Tahoma"/>
            <family val="2"/>
          </rPr>
          <t>Work stations need upgrades to meet current program criteria - replace</t>
        </r>
      </text>
    </comment>
    <comment ref="N141" authorId="0" shapeId="0" xr:uid="{00000000-0006-0000-0300-00003D010000}">
      <text>
        <r>
          <rPr>
            <b/>
            <sz val="9"/>
            <color indexed="81"/>
            <rFont val="Tahoma"/>
            <family val="2"/>
          </rPr>
          <t>Work stations need upgrades to meet current program criteria - replace</t>
        </r>
      </text>
    </comment>
    <comment ref="H142" authorId="0" shapeId="0" xr:uid="{00000000-0006-0000-0300-00003E010000}">
      <text>
        <r>
          <rPr>
            <b/>
            <sz val="9"/>
            <color indexed="81"/>
            <rFont val="Tahoma"/>
            <family val="2"/>
          </rPr>
          <t>Seats damaged and need replacement OR sound OR lighting system inadequate and needs upgraded</t>
        </r>
      </text>
    </comment>
    <comment ref="J142" authorId="0" shapeId="0" xr:uid="{00000000-0006-0000-0300-00003F010000}">
      <text>
        <r>
          <rPr>
            <b/>
            <sz val="9"/>
            <color indexed="81"/>
            <rFont val="Tahoma"/>
            <family val="2"/>
          </rPr>
          <t>Fly rigging in disrepair and needs upgrading</t>
        </r>
      </text>
    </comment>
    <comment ref="L142" authorId="0" shapeId="0" xr:uid="{00000000-0006-0000-0300-000040010000}">
      <text>
        <r>
          <rPr>
            <b/>
            <sz val="9"/>
            <color indexed="81"/>
            <rFont val="Tahoma"/>
            <family val="2"/>
          </rPr>
          <t>2 or more stage system dysfunctional and needs upgrade / replacement to production systems</t>
        </r>
      </text>
    </comment>
    <comment ref="N142" authorId="0" shapeId="0" xr:uid="{00000000-0006-0000-0300-000041010000}">
      <text>
        <r>
          <rPr>
            <b/>
            <sz val="9"/>
            <color indexed="81"/>
            <rFont val="Tahoma"/>
            <family val="2"/>
          </rPr>
          <t>2 or more stage system dysfunctional and needs upgrade / replacement to production systems</t>
        </r>
      </text>
    </comment>
    <comment ref="F143" authorId="0" shapeId="0" xr:uid="{00000000-0006-0000-0300-000042010000}">
      <text>
        <r>
          <rPr>
            <b/>
            <sz val="9"/>
            <color indexed="81"/>
            <rFont val="Tahoma"/>
            <family val="2"/>
          </rPr>
          <t>An accessory is damaged or missing</t>
        </r>
      </text>
    </comment>
    <comment ref="H143" authorId="0" shapeId="0" xr:uid="{00000000-0006-0000-0300-000043010000}">
      <text>
        <r>
          <rPr>
            <b/>
            <sz val="9"/>
            <color indexed="81"/>
            <rFont val="Tahoma"/>
            <family val="2"/>
          </rPr>
          <t>Accessories need to be replaced to meet ADA</t>
        </r>
      </text>
    </comment>
    <comment ref="J143" authorId="0" shapeId="0" xr:uid="{00000000-0006-0000-0300-000044010000}">
      <text>
        <r>
          <rPr>
            <b/>
            <sz val="9"/>
            <color indexed="81"/>
            <rFont val="Tahoma"/>
            <family val="2"/>
          </rPr>
          <t>The stall doors are not functional or missing and need to be replaced</t>
        </r>
      </text>
    </comment>
    <comment ref="L143" authorId="0" shapeId="0" xr:uid="{00000000-0006-0000-0300-000045010000}">
      <text>
        <r>
          <rPr>
            <b/>
            <sz val="9"/>
            <color indexed="81"/>
            <rFont val="Tahoma"/>
            <family val="2"/>
          </rPr>
          <t>The restrooms stall structure is failing or needs re-configuration and needs to be replaced</t>
        </r>
      </text>
    </comment>
    <comment ref="N143" authorId="0" shapeId="0" xr:uid="{00000000-0006-0000-0300-000046010000}">
      <text>
        <r>
          <rPr>
            <b/>
            <sz val="9"/>
            <color indexed="81"/>
            <rFont val="Tahoma"/>
            <family val="2"/>
          </rPr>
          <t>The restrooms stall structure is failing or needs re-configuration and needs to be replaced</t>
        </r>
      </text>
    </comment>
    <comment ref="D144" authorId="0" shapeId="0" xr:uid="{00000000-0006-0000-0300-000047010000}">
      <text>
        <r>
          <rPr>
            <b/>
            <sz val="9"/>
            <color indexed="81"/>
            <rFont val="Tahoma"/>
            <family val="2"/>
          </rPr>
          <t>Note anything specific in the "Other" category at the bottom of the assessment form</t>
        </r>
      </text>
    </comment>
    <comment ref="C147" authorId="0" shapeId="0" xr:uid="{00000000-0006-0000-0300-000048010000}">
      <text>
        <r>
          <rPr>
            <b/>
            <sz val="9"/>
            <color indexed="81"/>
            <rFont val="Tahoma"/>
            <family val="2"/>
          </rPr>
          <t>Assume fixed casework (counters, cabinets, shelving, etc.)</t>
        </r>
      </text>
    </comment>
    <comment ref="F147" authorId="0" shapeId="0" xr:uid="{00000000-0006-0000-0300-000049010000}">
      <text>
        <r>
          <rPr>
            <b/>
            <sz val="9"/>
            <color indexed="81"/>
            <rFont val="Tahoma"/>
            <family val="2"/>
          </rPr>
          <t>The counter top or exposed surface has been damaged and can be refinished</t>
        </r>
      </text>
    </comment>
    <comment ref="H147" authorId="0" shapeId="0" xr:uid="{00000000-0006-0000-0300-00004A010000}">
      <text>
        <r>
          <rPr>
            <b/>
            <sz val="9"/>
            <color indexed="81"/>
            <rFont val="Tahoma"/>
            <family val="2"/>
          </rPr>
          <t>The drawers and/or doors are damaged and require replacement including hardware</t>
        </r>
      </text>
    </comment>
    <comment ref="J147" authorId="0" shapeId="0" xr:uid="{00000000-0006-0000-0300-00004B010000}">
      <text>
        <r>
          <rPr>
            <b/>
            <sz val="9"/>
            <color indexed="81"/>
            <rFont val="Tahoma"/>
            <family val="2"/>
          </rPr>
          <t>A combination of minor and moderate action is required, but the box is still salvageable</t>
        </r>
      </text>
    </comment>
    <comment ref="L147" authorId="0" shapeId="0" xr:uid="{00000000-0006-0000-0300-00004C010000}">
      <text>
        <r>
          <rPr>
            <b/>
            <sz val="9"/>
            <color indexed="81"/>
            <rFont val="Tahoma"/>
            <family val="2"/>
          </rPr>
          <t>The casework is severely damaged throughout or is obsolete for the purposes of the space and needs to be replaced</t>
        </r>
      </text>
    </comment>
    <comment ref="N147" authorId="0" shapeId="0" xr:uid="{00000000-0006-0000-0300-00004D010000}">
      <text>
        <r>
          <rPr>
            <b/>
            <sz val="9"/>
            <color indexed="81"/>
            <rFont val="Tahoma"/>
            <family val="2"/>
          </rPr>
          <t>The casework is severely damaged throughout or is obsolete for the purposes of the space and needs to be replaced</t>
        </r>
      </text>
    </comment>
    <comment ref="C148" authorId="0" shapeId="0" xr:uid="{00000000-0006-0000-0300-00004E010000}">
      <text>
        <r>
          <rPr>
            <b/>
            <sz val="9"/>
            <color indexed="81"/>
            <rFont val="Tahoma"/>
            <family val="2"/>
          </rPr>
          <t>Assume loose furnishings (desks, chairs, tables, etc.)</t>
        </r>
      </text>
    </comment>
    <comment ref="L148" authorId="0" shapeId="0" xr:uid="{00000000-0006-0000-0300-00004F010000}">
      <text>
        <r>
          <rPr>
            <b/>
            <sz val="9"/>
            <color indexed="81"/>
            <rFont val="Tahoma"/>
            <family val="2"/>
          </rPr>
          <t>The furnishings are severely worn or are inappropriate for the age of students or function of space and require replacement</t>
        </r>
      </text>
    </comment>
    <comment ref="N148" authorId="0" shapeId="0" xr:uid="{00000000-0006-0000-0300-000050010000}">
      <text>
        <r>
          <rPr>
            <b/>
            <sz val="9"/>
            <color indexed="81"/>
            <rFont val="Tahoma"/>
            <family val="2"/>
          </rPr>
          <t>The furnishings are severely worn or are inappropriate for the age of students or function of space and require replacement</t>
        </r>
      </text>
    </comment>
    <comment ref="C154" authorId="0" shapeId="0" xr:uid="{00000000-0006-0000-0300-000051010000}">
      <text>
        <r>
          <rPr>
            <b/>
            <sz val="9"/>
            <color indexed="81"/>
            <rFont val="Tahoma"/>
            <family val="2"/>
          </rPr>
          <t>Paved only or needs to be paved</t>
        </r>
      </text>
    </comment>
    <comment ref="F154" authorId="0" shapeId="0" xr:uid="{00000000-0006-0000-0300-000052010000}">
      <text>
        <r>
          <rPr>
            <b/>
            <sz val="9"/>
            <color indexed="81"/>
            <rFont val="Tahoma"/>
            <family val="2"/>
          </rPr>
          <t>Minor cracking exists and can be resolved with application of a slurry coat</t>
        </r>
      </text>
    </comment>
    <comment ref="J154" authorId="0" shapeId="0" xr:uid="{00000000-0006-0000-0300-000053010000}">
      <text>
        <r>
          <rPr>
            <b/>
            <sz val="9"/>
            <color indexed="81"/>
            <rFont val="Tahoma"/>
            <family val="2"/>
          </rPr>
          <t>Surface is alligatoring requiring a section to be removed down to gravel base, replaced, and region slurry coated</t>
        </r>
      </text>
    </comment>
    <comment ref="L154" authorId="0" shapeId="0" xr:uid="{00000000-0006-0000-0300-000054010000}">
      <text>
        <r>
          <rPr>
            <b/>
            <sz val="9"/>
            <color indexed="81"/>
            <rFont val="Tahoma"/>
            <family val="2"/>
          </rPr>
          <t>Surface is broken and shows evidence of heaving and/or settlement requiring removal of asphalt and over-ex of sub-grade with complete replacement.  Where there is only a gravel road and a paved one is needed, this category shall be used</t>
        </r>
      </text>
    </comment>
    <comment ref="N154" authorId="0" shapeId="0" xr:uid="{00000000-0006-0000-0300-000055010000}">
      <text>
        <r>
          <rPr>
            <b/>
            <sz val="9"/>
            <color indexed="81"/>
            <rFont val="Tahoma"/>
            <family val="2"/>
          </rPr>
          <t>Surface is broken and shows evidence of heaving and/or settlement requiring removal of asphalt and over-ex of sub-grade with complete replacement.  Where there is only a gravel road and a paved one is needed, this category shall be used</t>
        </r>
      </text>
    </comment>
    <comment ref="C155" authorId="0" shapeId="0" xr:uid="{00000000-0006-0000-0300-000056010000}">
      <text>
        <r>
          <rPr>
            <b/>
            <sz val="9"/>
            <color indexed="81"/>
            <rFont val="Tahoma"/>
            <family val="2"/>
          </rPr>
          <t>Paved only or needs to be paved</t>
        </r>
      </text>
    </comment>
    <comment ref="F155" authorId="0" shapeId="0" xr:uid="{00000000-0006-0000-0300-000057010000}">
      <text>
        <r>
          <rPr>
            <b/>
            <sz val="9"/>
            <color indexed="81"/>
            <rFont val="Tahoma"/>
            <family val="2"/>
          </rPr>
          <t>Minor cracking exists and can be resolved with application of a slurry coat</t>
        </r>
      </text>
    </comment>
    <comment ref="J155" authorId="0" shapeId="0" xr:uid="{00000000-0006-0000-0300-000058010000}">
      <text>
        <r>
          <rPr>
            <b/>
            <sz val="9"/>
            <color indexed="81"/>
            <rFont val="Tahoma"/>
            <family val="2"/>
          </rPr>
          <t>Surface is alligatoring requiring a section to be removed down to gravel base, replaced, and region slurry coated</t>
        </r>
      </text>
    </comment>
    <comment ref="L155" authorId="0" shapeId="0" xr:uid="{00000000-0006-0000-0300-000059010000}">
      <text>
        <r>
          <rPr>
            <b/>
            <sz val="9"/>
            <color indexed="81"/>
            <rFont val="Tahoma"/>
            <family val="2"/>
          </rPr>
          <t>Surface is broken and shows evidence of heaving and/or settlement requiring removal of asphalt and over-ex of sub-grade with complete replacement.  Where there is only a gravel lot and a paved one is needed, this category shall be used</t>
        </r>
      </text>
    </comment>
    <comment ref="N155" authorId="0" shapeId="0" xr:uid="{00000000-0006-0000-0300-00005A010000}">
      <text>
        <r>
          <rPr>
            <b/>
            <sz val="9"/>
            <color indexed="81"/>
            <rFont val="Tahoma"/>
            <family val="2"/>
          </rPr>
          <t>Surface is broken and shows evidence of heaving and/or settlement requiring removal of asphalt and over-ex of sub-grade with complete replacement.  Where there is only a gravel lot and a paved one is needed, this category shall be used</t>
        </r>
      </text>
    </comment>
    <comment ref="C156" authorId="0" shapeId="0" xr:uid="{00000000-0006-0000-0300-00005B010000}">
      <text>
        <r>
          <rPr>
            <b/>
            <sz val="9"/>
            <color indexed="81"/>
            <rFont val="Tahoma"/>
            <family val="2"/>
          </rPr>
          <t>Concrete only or needs to be concrete</t>
        </r>
      </text>
    </comment>
    <comment ref="J156" authorId="0" shapeId="0" xr:uid="{00000000-0006-0000-0300-00005C010000}">
      <text>
        <r>
          <rPr>
            <b/>
            <sz val="9"/>
            <color indexed="81"/>
            <rFont val="Tahoma"/>
            <family val="2"/>
          </rPr>
          <t>Sections are broken with differential settlement requiring the removal of the effected panels and replacement</t>
        </r>
      </text>
    </comment>
    <comment ref="L156" authorId="0" shapeId="0" xr:uid="{00000000-0006-0000-0300-00005D010000}">
      <text>
        <r>
          <rPr>
            <b/>
            <sz val="9"/>
            <color indexed="81"/>
            <rFont val="Tahoma"/>
            <family val="2"/>
          </rPr>
          <t>Not only are sections of the concrete broken, but there is evidence of settlement surrounding the walk requiring removal through sub-grade and replacement.  Where there is no concrete walk, but one is needed, this category shall be used</t>
        </r>
      </text>
    </comment>
    <comment ref="N156" authorId="0" shapeId="0" xr:uid="{00000000-0006-0000-0300-00005E010000}">
      <text>
        <r>
          <rPr>
            <b/>
            <sz val="9"/>
            <color indexed="81"/>
            <rFont val="Tahoma"/>
            <family val="2"/>
          </rPr>
          <t>Not only are sections of the concrete broken, but there is evidence of settlement surrounding the walk requiring removal through sub-grade and replacement.  Where there is no concrete walk, but one is needed, this category shall be used</t>
        </r>
      </text>
    </comment>
    <comment ref="C157" authorId="0" shapeId="0" xr:uid="{00000000-0006-0000-0300-00005F010000}">
      <text>
        <r>
          <rPr>
            <b/>
            <sz val="9"/>
            <color indexed="81"/>
            <rFont val="Tahoma"/>
            <family val="2"/>
          </rPr>
          <t>Chain-link fencing</t>
        </r>
      </text>
    </comment>
    <comment ref="J157" authorId="0" shapeId="0" xr:uid="{00000000-0006-0000-0300-000060010000}">
      <text>
        <r>
          <rPr>
            <b/>
            <sz val="9"/>
            <color indexed="81"/>
            <rFont val="Tahoma"/>
            <family val="2"/>
          </rPr>
          <t>The fence fabric is damaged and needs to be replaced</t>
        </r>
      </text>
    </comment>
    <comment ref="L157" authorId="0" shapeId="0" xr:uid="{00000000-0006-0000-0300-000061010000}">
      <text>
        <r>
          <rPr>
            <b/>
            <sz val="9"/>
            <color indexed="81"/>
            <rFont val="Tahoma"/>
            <family val="2"/>
          </rPr>
          <t>The fencing has lost its structural integrity and is beyond repair.</t>
        </r>
      </text>
    </comment>
    <comment ref="N157" authorId="0" shapeId="0" xr:uid="{00000000-0006-0000-0300-000062010000}">
      <text>
        <r>
          <rPr>
            <b/>
            <sz val="9"/>
            <color indexed="81"/>
            <rFont val="Tahoma"/>
            <family val="2"/>
          </rPr>
          <t>The fencing has lost its structural integrity and is beyond repair.</t>
        </r>
      </text>
    </comment>
    <comment ref="C158" authorId="0" shapeId="0" xr:uid="{00000000-0006-0000-0300-000063010000}">
      <text>
        <r>
          <rPr>
            <b/>
            <sz val="9"/>
            <color indexed="81"/>
            <rFont val="Tahoma"/>
            <family val="2"/>
          </rPr>
          <t>Irrigation systems.  Other landscape or field items should be included in "Other" category at bottom of assessment form</t>
        </r>
      </text>
    </comment>
    <comment ref="L158" authorId="0" shapeId="0" xr:uid="{00000000-0006-0000-0300-000064010000}">
      <text>
        <r>
          <rPr>
            <b/>
            <sz val="9"/>
            <color indexed="81"/>
            <rFont val="Tahoma"/>
            <family val="2"/>
          </rPr>
          <t xml:space="preserve">Irrigation system is dysfunctional and beyond repair
</t>
        </r>
      </text>
    </comment>
    <comment ref="N158" authorId="0" shapeId="0" xr:uid="{00000000-0006-0000-0300-000065010000}">
      <text>
        <r>
          <rPr>
            <b/>
            <sz val="9"/>
            <color indexed="81"/>
            <rFont val="Tahoma"/>
            <family val="2"/>
          </rPr>
          <t xml:space="preserve">Irrigation system is dysfunctional and beyond repair
</t>
        </r>
      </text>
    </comment>
    <comment ref="D160" authorId="0" shapeId="0" xr:uid="{00000000-0006-0000-0300-000066010000}">
      <text>
        <r>
          <rPr>
            <b/>
            <sz val="9"/>
            <color indexed="81"/>
            <rFont val="Tahoma"/>
            <family val="2"/>
          </rPr>
          <t>Assumes 4" line to building.  Wells should be placed in "Other" category at bottom of form</t>
        </r>
      </text>
    </comment>
    <comment ref="L160" authorId="0" shapeId="0" xr:uid="{00000000-0006-0000-0300-000067010000}">
      <text>
        <r>
          <rPr>
            <b/>
            <sz val="9"/>
            <color indexed="81"/>
            <rFont val="Tahoma"/>
            <family val="2"/>
          </rPr>
          <t xml:space="preserve">A portion of the line has lost its structural integrity and requires replacement
</t>
        </r>
      </text>
    </comment>
    <comment ref="N160" authorId="0" shapeId="0" xr:uid="{00000000-0006-0000-0300-000068010000}">
      <text>
        <r>
          <rPr>
            <b/>
            <sz val="9"/>
            <color indexed="81"/>
            <rFont val="Tahoma"/>
            <family val="2"/>
          </rPr>
          <t xml:space="preserve">A portion of the line has lost its structural integrity and requires replacement
</t>
        </r>
      </text>
    </comment>
    <comment ref="D161" authorId="0" shapeId="0" xr:uid="{00000000-0006-0000-0300-000069010000}">
      <text>
        <r>
          <rPr>
            <b/>
            <sz val="9"/>
            <color indexed="81"/>
            <rFont val="Tahoma"/>
            <family val="2"/>
          </rPr>
          <t>Assumes 6" line to building.  Wells and holding tanks should be placed in "Other" category at bottom of form</t>
        </r>
      </text>
    </comment>
    <comment ref="L161" authorId="0" shapeId="0" xr:uid="{00000000-0006-0000-0300-00006A010000}">
      <text>
        <r>
          <rPr>
            <b/>
            <sz val="9"/>
            <color indexed="81"/>
            <rFont val="Tahoma"/>
            <family val="2"/>
          </rPr>
          <t xml:space="preserve">A portion of the line has lost its structural integrity and requires replacement
</t>
        </r>
      </text>
    </comment>
    <comment ref="N161" authorId="0" shapeId="0" xr:uid="{00000000-0006-0000-0300-00006B010000}">
      <text>
        <r>
          <rPr>
            <b/>
            <sz val="9"/>
            <color indexed="81"/>
            <rFont val="Tahoma"/>
            <family val="2"/>
          </rPr>
          <t xml:space="preserve">A portion of the line has lost its structural integrity and requires replacement
</t>
        </r>
      </text>
    </comment>
    <comment ref="C162" authorId="0" shapeId="0" xr:uid="{00000000-0006-0000-0300-00006C010000}">
      <text>
        <r>
          <rPr>
            <b/>
            <sz val="9"/>
            <color indexed="81"/>
            <rFont val="Tahoma"/>
            <family val="2"/>
          </rPr>
          <t>Lines only.  Septic fields, tanks, etc. should be placed in "other" category at bottom of form</t>
        </r>
      </text>
    </comment>
    <comment ref="L162" authorId="0" shapeId="0" xr:uid="{00000000-0006-0000-0300-00006D010000}">
      <text>
        <r>
          <rPr>
            <b/>
            <sz val="9"/>
            <color indexed="81"/>
            <rFont val="Tahoma"/>
            <family val="2"/>
          </rPr>
          <t>A portion of the line has lost its structural integrity and requires replacement</t>
        </r>
      </text>
    </comment>
    <comment ref="N162" authorId="0" shapeId="0" xr:uid="{00000000-0006-0000-0300-00006E010000}">
      <text>
        <r>
          <rPr>
            <b/>
            <sz val="9"/>
            <color indexed="81"/>
            <rFont val="Tahoma"/>
            <family val="2"/>
          </rPr>
          <t>A portion of the line has lost its structural integrity and requires replacement</t>
        </r>
      </text>
    </comment>
    <comment ref="C163" authorId="0" shapeId="0" xr:uid="{00000000-0006-0000-0300-00006F010000}">
      <text>
        <r>
          <rPr>
            <b/>
            <sz val="9"/>
            <color indexed="81"/>
            <rFont val="Tahoma"/>
            <family val="2"/>
          </rPr>
          <t>Assumes underground system.  For surface runoff system, apply to "Other" category at bottom of form</t>
        </r>
      </text>
    </comment>
    <comment ref="F163" authorId="0" shapeId="0" xr:uid="{00000000-0006-0000-0300-000070010000}">
      <text>
        <r>
          <rPr>
            <b/>
            <sz val="9"/>
            <color indexed="81"/>
            <rFont val="Tahoma"/>
            <family val="2"/>
          </rPr>
          <t xml:space="preserve">Catch basins have lost their integrity or are out of alignment.  Remove catch basin, reset, and realign
</t>
        </r>
      </text>
    </comment>
    <comment ref="H163" authorId="0" shapeId="0" xr:uid="{00000000-0006-0000-0300-000071010000}">
      <text>
        <r>
          <rPr>
            <b/>
            <sz val="9"/>
            <color indexed="81"/>
            <rFont val="Tahoma"/>
            <family val="2"/>
          </rPr>
          <t xml:space="preserve">Storm sewer piping is dysfunctional or damaged.  Remove and replace.
</t>
        </r>
      </text>
    </comment>
    <comment ref="J163" authorId="0" shapeId="0" xr:uid="{00000000-0006-0000-0300-000072010000}">
      <text>
        <r>
          <rPr>
            <b/>
            <sz val="9"/>
            <color indexed="81"/>
            <rFont val="Tahoma"/>
            <family val="2"/>
          </rPr>
          <t xml:space="preserve">Detention/retention has failed, but piping and catch basins are functional.  Replace detention  / retention system
</t>
        </r>
      </text>
    </comment>
    <comment ref="L163" authorId="0" shapeId="0" xr:uid="{00000000-0006-0000-0300-000073010000}">
      <text>
        <r>
          <rPr>
            <b/>
            <sz val="9"/>
            <color indexed="81"/>
            <rFont val="Tahoma"/>
            <family val="2"/>
          </rPr>
          <t>The entire underground system has failed and requires removal and replacement of all components</t>
        </r>
      </text>
    </comment>
    <comment ref="N163" authorId="0" shapeId="0" xr:uid="{00000000-0006-0000-0300-000074010000}">
      <text>
        <r>
          <rPr>
            <b/>
            <sz val="9"/>
            <color indexed="81"/>
            <rFont val="Tahoma"/>
            <family val="2"/>
          </rPr>
          <t>The entire underground system has failed and requires removal and replacement of all components</t>
        </r>
      </text>
    </comment>
    <comment ref="L164" authorId="0" shapeId="0" xr:uid="{00000000-0006-0000-0300-000075010000}">
      <text>
        <r>
          <rPr>
            <b/>
            <sz val="9"/>
            <color indexed="81"/>
            <rFont val="Tahoma"/>
            <family val="2"/>
          </rPr>
          <t xml:space="preserve">A portion of the line has lost its structural integrity and requires replacement
</t>
        </r>
      </text>
    </comment>
    <comment ref="N164" authorId="0" shapeId="0" xr:uid="{00000000-0006-0000-0300-000076010000}">
      <text>
        <r>
          <rPr>
            <b/>
            <sz val="9"/>
            <color indexed="81"/>
            <rFont val="Tahoma"/>
            <family val="2"/>
          </rPr>
          <t xml:space="preserve">A portion of the line has lost its structural integrity and requires replacement
</t>
        </r>
      </text>
    </comment>
    <comment ref="L165" authorId="0" shapeId="0" xr:uid="{00000000-0006-0000-0300-000077010000}">
      <text>
        <r>
          <rPr>
            <b/>
            <sz val="9"/>
            <color indexed="81"/>
            <rFont val="Tahoma"/>
            <family val="2"/>
          </rPr>
          <t xml:space="preserve">A portion of the line has lost its structural integrity and requires replacement
</t>
        </r>
      </text>
    </comment>
    <comment ref="N165" authorId="0" shapeId="0" xr:uid="{00000000-0006-0000-0300-000078010000}">
      <text>
        <r>
          <rPr>
            <b/>
            <sz val="9"/>
            <color indexed="81"/>
            <rFont val="Tahoma"/>
            <family val="2"/>
          </rPr>
          <t xml:space="preserve">A portion of the line has lost its structural integrity and requires replacement
</t>
        </r>
      </text>
    </comment>
    <comment ref="C166" authorId="0" shapeId="0" xr:uid="{00000000-0006-0000-0300-000079010000}">
      <text>
        <r>
          <rPr>
            <b/>
            <sz val="9"/>
            <color indexed="81"/>
            <rFont val="Tahoma"/>
            <family val="2"/>
          </rPr>
          <t>Natural gas lines</t>
        </r>
      </text>
    </comment>
    <comment ref="L166" authorId="0" shapeId="0" xr:uid="{00000000-0006-0000-0300-00007A010000}">
      <text>
        <r>
          <rPr>
            <b/>
            <sz val="9"/>
            <color indexed="81"/>
            <rFont val="Tahoma"/>
            <family val="2"/>
          </rPr>
          <t>A portion of the line has lost its structural integrity and requires replacement</t>
        </r>
      </text>
    </comment>
    <comment ref="N166" authorId="0" shapeId="0" xr:uid="{00000000-0006-0000-0300-00007B010000}">
      <text>
        <r>
          <rPr>
            <b/>
            <sz val="9"/>
            <color indexed="81"/>
            <rFont val="Tahoma"/>
            <family val="2"/>
          </rPr>
          <t>A portion of the line has lost its structural integrity and requires replacement</t>
        </r>
      </text>
    </comment>
    <comment ref="D169" authorId="0" shapeId="0" xr:uid="{00000000-0006-0000-0300-00007C010000}">
      <text>
        <r>
          <rPr>
            <b/>
            <sz val="9"/>
            <color indexed="81"/>
            <rFont val="Tahoma"/>
            <family val="2"/>
          </rPr>
          <t>Assumes the private portion of the service lines typically underground after the meter or transformer</t>
        </r>
      </text>
    </comment>
    <comment ref="J169" authorId="0" shapeId="0" xr:uid="{00000000-0006-0000-0300-00007D010000}">
      <text>
        <r>
          <rPr>
            <b/>
            <sz val="9"/>
            <color indexed="81"/>
            <rFont val="Tahoma"/>
            <family val="2"/>
          </rPr>
          <t>The transformer no longer functions and is in need of replacement</t>
        </r>
      </text>
    </comment>
    <comment ref="L169" authorId="0" shapeId="0" xr:uid="{00000000-0006-0000-0300-00007E010000}">
      <text>
        <r>
          <rPr>
            <b/>
            <sz val="9"/>
            <color indexed="81"/>
            <rFont val="Tahoma"/>
            <family val="2"/>
          </rPr>
          <t>The service has failed and is beyond repair or is undersized requiring replacement of transformer and service lines</t>
        </r>
      </text>
    </comment>
    <comment ref="N169" authorId="0" shapeId="0" xr:uid="{00000000-0006-0000-0300-00007F010000}">
      <text>
        <r>
          <rPr>
            <b/>
            <sz val="9"/>
            <color indexed="81"/>
            <rFont val="Tahoma"/>
            <family val="2"/>
          </rPr>
          <t>The service has failed and is beyond repair or is undersized requiring replacement of transformer and service lines</t>
        </r>
      </text>
    </comment>
    <comment ref="F170" authorId="0" shapeId="0" xr:uid="{00000000-0006-0000-0300-000080010000}">
      <text>
        <r>
          <rPr>
            <b/>
            <sz val="9"/>
            <color indexed="81"/>
            <rFont val="Tahoma"/>
            <family val="2"/>
          </rPr>
          <t>The generator needs to be tuned up</t>
        </r>
      </text>
    </comment>
    <comment ref="H170" authorId="0" shapeId="0" xr:uid="{00000000-0006-0000-0300-000081010000}">
      <text>
        <r>
          <rPr>
            <b/>
            <sz val="9"/>
            <color indexed="81"/>
            <rFont val="Tahoma"/>
            <family val="2"/>
          </rPr>
          <t>The valves or other engine parts need to be repaired or replaced and then a tune up</t>
        </r>
      </text>
    </comment>
    <comment ref="J170" authorId="0" shapeId="0" xr:uid="{00000000-0006-0000-0300-000082010000}">
      <text>
        <r>
          <rPr>
            <b/>
            <sz val="9"/>
            <color indexed="81"/>
            <rFont val="Tahoma"/>
            <family val="2"/>
          </rPr>
          <t>Generator is non-functional or under-sized</t>
        </r>
      </text>
    </comment>
    <comment ref="L170" authorId="0" shapeId="0" xr:uid="{00000000-0006-0000-0300-000083010000}">
      <text>
        <r>
          <rPr>
            <b/>
            <sz val="9"/>
            <color indexed="81"/>
            <rFont val="Tahoma"/>
            <family val="2"/>
          </rPr>
          <t>The system (generator, tank, services lines connected lighting system) is non-functional or under-sized</t>
        </r>
      </text>
    </comment>
    <comment ref="N170" authorId="0" shapeId="0" xr:uid="{00000000-0006-0000-0300-000084010000}">
      <text>
        <r>
          <rPr>
            <b/>
            <sz val="9"/>
            <color indexed="81"/>
            <rFont val="Tahoma"/>
            <family val="2"/>
          </rPr>
          <t>The system (generator, tank, services lines connected lighting system) is non-functional or under-sized</t>
        </r>
      </text>
    </comment>
    <comment ref="H171" authorId="0" shapeId="0" xr:uid="{00000000-0006-0000-0300-000085010000}">
      <text>
        <r>
          <rPr>
            <b/>
            <sz val="9"/>
            <color indexed="81"/>
            <rFont val="Tahoma"/>
            <family val="2"/>
          </rPr>
          <t>The fixtures are nonfunctional and require replacement</t>
        </r>
      </text>
    </comment>
    <comment ref="L171" authorId="0" shapeId="0" xr:uid="{00000000-0006-0000-0300-000086010000}">
      <text>
        <r>
          <rPr>
            <b/>
            <sz val="9"/>
            <color indexed="81"/>
            <rFont val="Tahoma"/>
            <family val="2"/>
          </rPr>
          <t>The fixtures, supports, and underground wiring need to be replaced</t>
        </r>
      </text>
    </comment>
    <comment ref="N171" authorId="0" shapeId="0" xr:uid="{00000000-0006-0000-0300-000087010000}">
      <text>
        <r>
          <rPr>
            <b/>
            <sz val="9"/>
            <color indexed="81"/>
            <rFont val="Tahoma"/>
            <family val="2"/>
          </rPr>
          <t>The fixtures, supports, and underground wiring need to be replaced</t>
        </r>
      </text>
    </comment>
    <comment ref="C172" authorId="0" shapeId="0" xr:uid="{00000000-0006-0000-0300-000088010000}">
      <text>
        <r>
          <rPr>
            <b/>
            <sz val="9"/>
            <color indexed="81"/>
            <rFont val="Tahoma"/>
            <family val="2"/>
          </rPr>
          <t>Assumes low voltage lines underground</t>
        </r>
      </text>
    </comment>
    <comment ref="L172" authorId="0" shapeId="0" xr:uid="{00000000-0006-0000-0300-000089010000}">
      <text>
        <r>
          <rPr>
            <b/>
            <sz val="9"/>
            <color indexed="81"/>
            <rFont val="Tahoma"/>
            <family val="2"/>
          </rPr>
          <t>Site cabling is inadequate or service is interrupted - replace cabling</t>
        </r>
      </text>
    </comment>
    <comment ref="N172" authorId="0" shapeId="0" xr:uid="{00000000-0006-0000-0300-00008A010000}">
      <text>
        <r>
          <rPr>
            <b/>
            <sz val="9"/>
            <color indexed="81"/>
            <rFont val="Tahoma"/>
            <family val="2"/>
          </rPr>
          <t>Site cabling is inadequate or service is interrupted - replace cabling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Tiffany Hammond</author>
  </authors>
  <commentList>
    <comment ref="A61" authorId="0" shapeId="0" xr:uid="{4F1C55D3-703E-49C0-9ABA-95B2781925B0}">
      <text>
        <r>
          <rPr>
            <b/>
            <sz val="9"/>
            <color indexed="81"/>
            <rFont val="Tahoma"/>
            <family val="2"/>
          </rPr>
          <t>Tiffany Hammond:</t>
        </r>
        <r>
          <rPr>
            <sz val="9"/>
            <color indexed="81"/>
            <rFont val="Tahoma"/>
            <family val="2"/>
          </rPr>
          <t xml:space="preserve">
Separate each item by a comma.</t>
        </r>
      </text>
    </comment>
    <comment ref="A62" authorId="0" shapeId="0" xr:uid="{4F6CF5E2-343C-4DC7-9BCA-3F9E40CB571B}">
      <text>
        <r>
          <rPr>
            <b/>
            <sz val="9"/>
            <color indexed="81"/>
            <rFont val="Tahoma"/>
            <family val="2"/>
          </rPr>
          <t>Tiffany Hammond:</t>
        </r>
        <r>
          <rPr>
            <sz val="9"/>
            <color indexed="81"/>
            <rFont val="Tahoma"/>
            <family val="2"/>
          </rPr>
          <t xml:space="preserve">
Complete the ADDITIONS section on the "Renovations, Additions, &amp; Portables" tab.  
If multiple buildings are grouped in with this Site, itemize them out here.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tc={C7CBFB7B-DA0C-4F68-B937-9F8A5D0D5489}</author>
  </authors>
  <commentList>
    <comment ref="J210" authorId="0" shapeId="0" xr:uid="{C7CBFB7B-DA0C-4F68-B937-9F8A5D0D5489}">
      <text>
        <t>[Threaded comment]
Your version of Excel allows you to read this threaded comment; however, any edits to it will get removed if the file is opened in a newer version of Excel. Learn more: https://go.microsoft.com/fwlink/?linkid=870924
Comment:
    Can instructor see all screens at same time?</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Tiffany Hammond</author>
  </authors>
  <commentList>
    <comment ref="M3" authorId="0" shapeId="0" xr:uid="{317EEC53-C1E9-408A-8AEE-1BC2EA4A621B}">
      <text>
        <r>
          <rPr>
            <b/>
            <sz val="9"/>
            <color indexed="81"/>
            <rFont val="Tahoma"/>
            <family val="2"/>
          </rPr>
          <t>Tiffany Hammond:</t>
        </r>
        <r>
          <rPr>
            <sz val="9"/>
            <color indexed="81"/>
            <rFont val="Tahoma"/>
            <family val="2"/>
          </rPr>
          <t xml:space="preserve">
Replacement cost of units that are </t>
        </r>
        <r>
          <rPr>
            <u/>
            <sz val="9"/>
            <color indexed="81"/>
            <rFont val="Tahoma"/>
            <family val="2"/>
          </rPr>
          <t>&gt;</t>
        </r>
        <r>
          <rPr>
            <sz val="9"/>
            <color indexed="81"/>
            <rFont val="Tahoma"/>
            <family val="2"/>
          </rPr>
          <t>15 years old.</t>
        </r>
      </text>
    </comment>
    <comment ref="M4" authorId="0" shapeId="0" xr:uid="{955FD38F-F63B-4D0A-B95C-35520832925F}">
      <text>
        <r>
          <rPr>
            <b/>
            <sz val="9"/>
            <color indexed="81"/>
            <rFont val="Tahoma"/>
            <family val="2"/>
          </rPr>
          <t>Tiffany Hammond:</t>
        </r>
        <r>
          <rPr>
            <sz val="9"/>
            <color indexed="81"/>
            <rFont val="Tahoma"/>
            <family val="2"/>
          </rPr>
          <t xml:space="preserve">
Replacement cost of all units.</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3">
    <bk>
      <extLst>
        <ext uri="{3e2802c4-a4d2-4d8b-9148-e3be6c30e623}">
          <xlrd:rvb i="0"/>
        </ext>
      </extLst>
    </bk>
    <bk>
      <extLst>
        <ext uri="{3e2802c4-a4d2-4d8b-9148-e3be6c30e623}">
          <xlrd:rvb i="1"/>
        </ext>
      </extLst>
    </bk>
    <bk>
      <extLst>
        <ext uri="{3e2802c4-a4d2-4d8b-9148-e3be6c30e623}">
          <xlrd:rvb i="2"/>
        </ext>
      </extLst>
    </bk>
  </futureMetadata>
  <cellMetadata count="1">
    <bk>
      <rc t="1" v="0"/>
    </bk>
  </cellMetadata>
  <valueMetadata count="3">
    <bk>
      <rc t="2" v="0"/>
    </bk>
    <bk>
      <rc t="2" v="1"/>
    </bk>
    <bk>
      <rc t="2" v="2"/>
    </bk>
  </valueMetadata>
</metadata>
</file>

<file path=xl/sharedStrings.xml><?xml version="1.0" encoding="utf-8"?>
<sst xmlns="http://schemas.openxmlformats.org/spreadsheetml/2006/main" count="5641" uniqueCount="2082">
  <si>
    <t>Item</t>
  </si>
  <si>
    <t>Data</t>
  </si>
  <si>
    <t>Notes / Explanation</t>
  </si>
  <si>
    <t>District Name:</t>
  </si>
  <si>
    <t>Site Name:</t>
  </si>
  <si>
    <t>Building Name:</t>
  </si>
  <si>
    <t>Building ID:</t>
  </si>
  <si>
    <t>Building Type:</t>
  </si>
  <si>
    <t>Pull-down menu - feeds FCI calculation</t>
  </si>
  <si>
    <t>Physical Address of Building:</t>
  </si>
  <si>
    <t>Original Year Built, Years of Additions:</t>
  </si>
  <si>
    <t>Primary Structure Type:</t>
  </si>
  <si>
    <t>What type of construction was used to complete original building</t>
  </si>
  <si>
    <t>Describe Other Construction Type:</t>
  </si>
  <si>
    <t>If you choose other construction type please describe here</t>
  </si>
  <si>
    <t>County:</t>
  </si>
  <si>
    <t>Gross Square Footage:</t>
  </si>
  <si>
    <t>Calculated from exterior face of walls (excluding eaves, outbuilding, porches, canopies, and similar)</t>
  </si>
  <si>
    <t>Site Acreage:</t>
  </si>
  <si>
    <t>District records</t>
  </si>
  <si>
    <t>Assessor Company:</t>
  </si>
  <si>
    <t>Initial Assessor Name:</t>
  </si>
  <si>
    <t>For follow up questions</t>
  </si>
  <si>
    <t>Contact (Phone):</t>
  </si>
  <si>
    <t>Contact (E-Mail):</t>
  </si>
  <si>
    <t>Date of Assessment:</t>
  </si>
  <si>
    <t>Use format MM/DD/YYYY</t>
  </si>
  <si>
    <t>B    SHELL</t>
  </si>
  <si>
    <t>FILL OUT ALL INFORMATION ON 'BASE INFORMATION SHEET' BEFORE ENTERING DATA ON THIS SHEET</t>
  </si>
  <si>
    <t>An unused cell or system that should not receive direct user input</t>
  </si>
  <si>
    <t>State Assigned Inflation Factor</t>
  </si>
  <si>
    <t>An automatically populated cell from user input elsewhere in the file - do not overwrite</t>
  </si>
  <si>
    <t>County Cost Factor for Physical Assessment Budget Calculation</t>
  </si>
  <si>
    <t>Today's Date</t>
  </si>
  <si>
    <t>Year</t>
  </si>
  <si>
    <t>LEVEL OF ACTION</t>
  </si>
  <si>
    <t>Level 1</t>
  </si>
  <si>
    <t>Level 2</t>
  </si>
  <si>
    <t>Level 3</t>
  </si>
  <si>
    <t>Type (as applicable)</t>
  </si>
  <si>
    <t>% of Building or Number</t>
  </si>
  <si>
    <t>None</t>
  </si>
  <si>
    <t>Minor</t>
  </si>
  <si>
    <t>Moderate</t>
  </si>
  <si>
    <t>Major</t>
  </si>
  <si>
    <t>Replace as part of Renovation</t>
  </si>
  <si>
    <t>Replace as singular scope</t>
  </si>
  <si>
    <t>% of System or Finish</t>
  </si>
  <si>
    <t>Automated Budget Estimate</t>
  </si>
  <si>
    <t>Notes</t>
  </si>
  <si>
    <t>Lookup Key &lt;HIDE&gt;</t>
  </si>
  <si>
    <t>Unit</t>
  </si>
  <si>
    <t>Replace</t>
  </si>
  <si>
    <t>MAJOR $ - PCA</t>
  </si>
  <si>
    <t>REPLACE $ PCA</t>
  </si>
  <si>
    <t>SF - Major</t>
  </si>
  <si>
    <t>SF - Replace</t>
  </si>
  <si>
    <t>Unit - Major</t>
  </si>
  <si>
    <t>Unit - Replace</t>
  </si>
  <si>
    <t>System Replacement Value</t>
  </si>
  <si>
    <t>System CI</t>
  </si>
  <si>
    <t>Year system received major reno or replacement</t>
  </si>
  <si>
    <t>Estimated useful life</t>
  </si>
  <si>
    <t>System age</t>
  </si>
  <si>
    <t>Estimate year of end of useful life</t>
  </si>
  <si>
    <t>Yr 0 LC $</t>
  </si>
  <si>
    <t>A    SUBSTRUCTURE</t>
  </si>
  <si>
    <t>A10 Foundations</t>
  </si>
  <si>
    <t>A1010 Standard Foundations</t>
  </si>
  <si>
    <t>A1010 Standard Foundations_blank</t>
  </si>
  <si>
    <t>Foundation</t>
  </si>
  <si>
    <t>SF</t>
  </si>
  <si>
    <t>X</t>
  </si>
  <si>
    <t>A1020 Special Foundations</t>
  </si>
  <si>
    <t>A1020 Special Foundations_blank</t>
  </si>
  <si>
    <t>A1030 Slab on Grade</t>
  </si>
  <si>
    <t>A1030 Slab on Grade_blank</t>
  </si>
  <si>
    <t>A2010 Basement Excavation</t>
  </si>
  <si>
    <t>NOT USED</t>
  </si>
  <si>
    <t>A2020 Basement Walls</t>
  </si>
  <si>
    <t>A2020 Basement Walls_blank</t>
  </si>
  <si>
    <t>B10 Superstructure</t>
  </si>
  <si>
    <t>B1010 Floor Construction</t>
  </si>
  <si>
    <t>Wood</t>
  </si>
  <si>
    <t>B1010 Floor Construction_Wood</t>
  </si>
  <si>
    <t>Interior Structure</t>
  </si>
  <si>
    <t>Steel</t>
  </si>
  <si>
    <t>B1010 Floor Construction_Steel</t>
  </si>
  <si>
    <t>Concrete</t>
  </si>
  <si>
    <t>B1010 Floor Construction_Concrete</t>
  </si>
  <si>
    <t>Run a spell check after completing this sheet.</t>
  </si>
  <si>
    <t>B1020 Roof Construction</t>
  </si>
  <si>
    <t>B1020 Roof Construction_Wood</t>
  </si>
  <si>
    <t>Roofing</t>
  </si>
  <si>
    <t>B1020 Roof Construction_Steel</t>
  </si>
  <si>
    <t>B1020 Roof Construction_Concrete</t>
  </si>
  <si>
    <t>B20 Exterior Enclosure</t>
  </si>
  <si>
    <t>B2010 Exterior Walls</t>
  </si>
  <si>
    <t>Concrete Formed / Tilt</t>
  </si>
  <si>
    <t>B2010 Exterior Walls_Concrete Formed / Tilt</t>
  </si>
  <si>
    <t>Exterior Structure</t>
  </si>
  <si>
    <t>x</t>
  </si>
  <si>
    <t>Masonry</t>
  </si>
  <si>
    <t>B2010 Exterior Walls_Masonry</t>
  </si>
  <si>
    <t>Framed w/ Wood Siding</t>
  </si>
  <si>
    <t>B2010 Exterior Walls_Framed w/ Wood Siding</t>
  </si>
  <si>
    <t>Framed w/Metal Panel</t>
  </si>
  <si>
    <t>B2010 Exterior Walls_Framed w/Metal Panel</t>
  </si>
  <si>
    <t>Framed w/Stucco</t>
  </si>
  <si>
    <t>B2010 Exterior Walls_Framed w/Stucco</t>
  </si>
  <si>
    <t>Framed w/Masonry Veneer</t>
  </si>
  <si>
    <t>B2010 Exterior Walls_Framed w/Masonry Veneer</t>
  </si>
  <si>
    <t>B2020 Exterior Windows</t>
  </si>
  <si>
    <t>B2020 Exterior Windows_Wood</t>
  </si>
  <si>
    <t>Exterior/Interior Windows</t>
  </si>
  <si>
    <t>Total Sq. ft.</t>
  </si>
  <si>
    <t>Number of Units</t>
  </si>
  <si>
    <t>Aluminum/Steel</t>
  </si>
  <si>
    <t>B2020 Exterior Windows_Aluminum/Steel</t>
  </si>
  <si>
    <t>Clad</t>
  </si>
  <si>
    <t>B2020 Exterior Windows_Clad</t>
  </si>
  <si>
    <t>Curtain Wall</t>
  </si>
  <si>
    <t>B2020 Exterior Windows_Curtain Wall</t>
  </si>
  <si>
    <t>B2030 Exterior Doors</t>
  </si>
  <si>
    <t>B2030 Exterior Doors_Wood</t>
  </si>
  <si>
    <t>Doors</t>
  </si>
  <si>
    <t>Total Sq. in.</t>
  </si>
  <si>
    <t>Hollow Metal</t>
  </si>
  <si>
    <t>B2030 Exterior Doors_Hollow Metal</t>
  </si>
  <si>
    <t>Storefront</t>
  </si>
  <si>
    <t>B2030 Exterior Doors_Storefront</t>
  </si>
  <si>
    <t>Overhead Metal Garage</t>
  </si>
  <si>
    <t>B2030 Exterior Doors_Overhead Metal Garage</t>
  </si>
  <si>
    <t xml:space="preserve">Rollup Metal </t>
  </si>
  <si>
    <t xml:space="preserve">B2030 Exterior Doors_Rollup Metal </t>
  </si>
  <si>
    <t>B30 Roofing</t>
  </si>
  <si>
    <t>B3010 Roof Coverings</t>
  </si>
  <si>
    <t>Asphalt Shingle</t>
  </si>
  <si>
    <t>B3010 Roof Coverings_Asphalt Shingle</t>
  </si>
  <si>
    <t>Modified Bitumen</t>
  </si>
  <si>
    <t>B3010 Roof Coverings_Modified Bitumen</t>
  </si>
  <si>
    <t>Gravel</t>
  </si>
  <si>
    <t>B3010 Roof Coverings_Gravel</t>
  </si>
  <si>
    <t>Spanish Tile</t>
  </si>
  <si>
    <t>B3010 Roof Coverings_Spanish Tile</t>
  </si>
  <si>
    <t>Built-Up</t>
  </si>
  <si>
    <t>B3010 Roof Coverings_Built-Up</t>
  </si>
  <si>
    <t>Single Ply</t>
  </si>
  <si>
    <t>B3010 Roof Coverings_Single Ply</t>
  </si>
  <si>
    <t>Metal</t>
  </si>
  <si>
    <t>B3010 Roof Coverings_Metal</t>
  </si>
  <si>
    <t>Concrete Tile</t>
  </si>
  <si>
    <t>B3010 Roof Coverings_Concrete Tile</t>
  </si>
  <si>
    <t>B3020 Roof Openings</t>
  </si>
  <si>
    <t>Skylights</t>
  </si>
  <si>
    <t>B3020 Roof Openings_Skylights</t>
  </si>
  <si>
    <t>Access Hatch</t>
  </si>
  <si>
    <t>B3020 Roof Openings_Access Hatch</t>
  </si>
  <si>
    <t>C    INTERIORS</t>
  </si>
  <si>
    <t>C10 Interior Construction</t>
  </si>
  <si>
    <t>C1010 Partitions</t>
  </si>
  <si>
    <t>Framed</t>
  </si>
  <si>
    <t>C1010 Partitions_Framed</t>
  </si>
  <si>
    <t>C1010 Partitions_Masonry</t>
  </si>
  <si>
    <t>C1010 Partitions_Curtain Wall</t>
  </si>
  <si>
    <t>C1020 Interior Doors</t>
  </si>
  <si>
    <t>C1020 Interior Doors_Wood</t>
  </si>
  <si>
    <t>C1020 Interior Doors_Hollow Metal</t>
  </si>
  <si>
    <t>C1020 Interior Doors_Storefront</t>
  </si>
  <si>
    <t>C1020 Interior Doors_Overhead Metal Garage</t>
  </si>
  <si>
    <t xml:space="preserve">C1020 Interior Doors_Rollup Metal </t>
  </si>
  <si>
    <t>Interior Windows</t>
  </si>
  <si>
    <t>Interior Windows_Wood</t>
  </si>
  <si>
    <t>Interior Windows_Aluminum/Steel</t>
  </si>
  <si>
    <t>Interior Windows_Clad</t>
  </si>
  <si>
    <t>C20 Stairs</t>
  </si>
  <si>
    <t>C2010 Stair Construction</t>
  </si>
  <si>
    <t>C2010 Stair Construction_Wood</t>
  </si>
  <si>
    <t>C2010 Stair Construction_Metal</t>
  </si>
  <si>
    <t>C2010 Stair Construction_Concrete</t>
  </si>
  <si>
    <t>C2020 Stair Finishes</t>
  </si>
  <si>
    <t>Concrete Fill</t>
  </si>
  <si>
    <t>C2020 Stair Finishes_Concrete Fill</t>
  </si>
  <si>
    <t>Resilient</t>
  </si>
  <si>
    <t>C2020 Stair Finishes_Resilient</t>
  </si>
  <si>
    <t>C2020 Stair Finishes_Wood</t>
  </si>
  <si>
    <t>Metal Grating</t>
  </si>
  <si>
    <t>C2020 Stair Finishes_Metal Grating</t>
  </si>
  <si>
    <t>C30 Interior Finishes</t>
  </si>
  <si>
    <t>C3010 Wall Finishes</t>
  </si>
  <si>
    <t>Paint on Masonry</t>
  </si>
  <si>
    <t>C3010 Wall Finishes_Paint on Masonry</t>
  </si>
  <si>
    <t>Wallboard</t>
  </si>
  <si>
    <t>C3010 Wall Finishes_Wallboard</t>
  </si>
  <si>
    <t>Wainscot</t>
  </si>
  <si>
    <t>C3010 Wall Finishes_Wainscot</t>
  </si>
  <si>
    <t>Wood Paneling</t>
  </si>
  <si>
    <t>C3010 Wall Finishes_Wood Paneling</t>
  </si>
  <si>
    <t>Vinyl Paneling</t>
  </si>
  <si>
    <t>C3010 Wall Finishes_Vinyl Paneling</t>
  </si>
  <si>
    <t>Formica</t>
  </si>
  <si>
    <t>C3010 Wall Finishes_Formica</t>
  </si>
  <si>
    <t>Ceramic Tile</t>
  </si>
  <si>
    <t>C3010 Wall Finishes_Ceramic Tile</t>
  </si>
  <si>
    <t>C3020 Floor Finishes</t>
  </si>
  <si>
    <t>Carpet / Soft Surface</t>
  </si>
  <si>
    <t>C3020 Floor Finishes_Carpet / Soft Surface</t>
  </si>
  <si>
    <t>Flooring</t>
  </si>
  <si>
    <t>Resilient Tile</t>
  </si>
  <si>
    <t>C3020 Floor Finishes_Resilient Tile</t>
  </si>
  <si>
    <t>Resilient Sheet</t>
  </si>
  <si>
    <t>C3020 Floor Finishes_Resilient Sheet</t>
  </si>
  <si>
    <t>Polished Concrete</t>
  </si>
  <si>
    <t>C3020 Floor Finishes_Polished Concrete</t>
  </si>
  <si>
    <t>C3020 Floor Finishes_Ceramic Tile</t>
  </si>
  <si>
    <t>Liquid Applied</t>
  </si>
  <si>
    <t>C3020 Floor Finishes_Liquid Applied</t>
  </si>
  <si>
    <t>Wood Sports Floor</t>
  </si>
  <si>
    <t>C3020 Floor Finishes_Wood Sports Floor</t>
  </si>
  <si>
    <t>C3030 Ceiling Finishes</t>
  </si>
  <si>
    <t>C3030 Ceiling Finishes_Wallboard</t>
  </si>
  <si>
    <t>Lay-In Ceiling Tile</t>
  </si>
  <si>
    <t>C3030 Ceiling Finishes_Lay-In Ceiling Tile</t>
  </si>
  <si>
    <t>Glued-Up Ceiling Tile</t>
  </si>
  <si>
    <t>C3030 Ceiling Finishes_Glued-Up Ceiling Tile</t>
  </si>
  <si>
    <t>Tectum</t>
  </si>
  <si>
    <t>C3030 Ceiling Finishes_Tectum</t>
  </si>
  <si>
    <t>Painted Structure</t>
  </si>
  <si>
    <t>C3030 Ceiling Finishes_Painted Structure</t>
  </si>
  <si>
    <t>D    SERVICES</t>
  </si>
  <si>
    <t>D10 Conveying</t>
  </si>
  <si>
    <t>D1010 Elevators &amp; Lifts</t>
  </si>
  <si>
    <t>D1010 Elevators &amp; Lifts_blank</t>
  </si>
  <si>
    <t>D1020 Escalators &amp; Moving Walks</t>
  </si>
  <si>
    <t>D1020 Escalators &amp; Moving Walks_blank</t>
  </si>
  <si>
    <t>D1090 Other Conveying Systems</t>
  </si>
  <si>
    <t>D1090 Other Conveying Systems_blank</t>
  </si>
  <si>
    <t>D20 Plumbing</t>
  </si>
  <si>
    <t>D2010 Plumbing Fixtures</t>
  </si>
  <si>
    <t>D2010 Plumbing Fixtures_blank</t>
  </si>
  <si>
    <t>Plumbing</t>
  </si>
  <si>
    <t>D2020 Domestic Water Distribution</t>
  </si>
  <si>
    <t>D2020 Domestic Water Distribution_blank</t>
  </si>
  <si>
    <t>D2030 Sanitary Waste</t>
  </si>
  <si>
    <t>D2030 Sanitary Waste_blank</t>
  </si>
  <si>
    <t>D2040 Rain Water Drainage</t>
  </si>
  <si>
    <t>D2040 Rain Water Drainage_blank</t>
  </si>
  <si>
    <t>D30 HVAC</t>
  </si>
  <si>
    <t>HVAC</t>
  </si>
  <si>
    <t>D3010 Energy Supply</t>
  </si>
  <si>
    <t>D3010 Energy Supply_blank</t>
  </si>
  <si>
    <t>Age</t>
  </si>
  <si>
    <t># of units</t>
  </si>
  <si>
    <t>Tons</t>
  </si>
  <si>
    <t>Cost</t>
  </si>
  <si>
    <t>% of Total Tons</t>
  </si>
  <si>
    <t>D3020 Heat Generating Systems</t>
  </si>
  <si>
    <t>Boiler</t>
  </si>
  <si>
    <t>D3020 Heat Generating Systems_Boiler</t>
  </si>
  <si>
    <t>10-14 years old</t>
  </si>
  <si>
    <t>Air Handler</t>
  </si>
  <si>
    <t>D3020 Heat Generating Systems_Air Handler</t>
  </si>
  <si>
    <t>15+ years old</t>
  </si>
  <si>
    <t>Furnace</t>
  </si>
  <si>
    <t>D3020 Heat Generating Systems_Furnace</t>
  </si>
  <si>
    <t xml:space="preserve">Total Replacement Cost </t>
  </si>
  <si>
    <t>Heat Exchanger</t>
  </si>
  <si>
    <t>D3020 Heat Generating Systems_Heat Exchanger</t>
  </si>
  <si>
    <t>D3030 Cooling Generating Systems</t>
  </si>
  <si>
    <t>Component of air handler</t>
  </si>
  <si>
    <t>D3030 Cooling Generating Systems_Component of air handler</t>
  </si>
  <si>
    <t>Stand alone chiller</t>
  </si>
  <si>
    <t>D3030 Cooling Generating Systems_Stand alone chiller</t>
  </si>
  <si>
    <t>D3040 Distribution Systems</t>
  </si>
  <si>
    <t>Ductwork</t>
  </si>
  <si>
    <t>D3040 Distribution Systems_Ductwork</t>
  </si>
  <si>
    <t>Hot water return &amp; supply</t>
  </si>
  <si>
    <t>D3040 Distribution Systems_Hot water return &amp; supply</t>
  </si>
  <si>
    <t>D3050 Terminal &amp; Package Units</t>
  </si>
  <si>
    <t>Above ceiling VAV unit</t>
  </si>
  <si>
    <t>D3050 Terminal &amp; Package Units_Above ceiling VAV unit</t>
  </si>
  <si>
    <t>In-room ventilator unit</t>
  </si>
  <si>
    <t>D3050 Terminal &amp; Package Units_In-room ventilator unit</t>
  </si>
  <si>
    <t>In-room radiant unit</t>
  </si>
  <si>
    <t>D3050 Terminal &amp; Package Units_In-room radiant unit</t>
  </si>
  <si>
    <t>D3060 Controls &amp; Instrumentation</t>
  </si>
  <si>
    <t>D3060 Controls &amp; Instrumentation_blank</t>
  </si>
  <si>
    <t>D3070 Systems Testing &amp; Balancing</t>
  </si>
  <si>
    <t>D3070 Systems Testing &amp; Balancing_blank</t>
  </si>
  <si>
    <t>D3090 Other HVAC Systems &amp; Equipment</t>
  </si>
  <si>
    <t>D40 Fire Protection</t>
  </si>
  <si>
    <t>D4010 Sprinklers</t>
  </si>
  <si>
    <t>D4010 Sprinklers_blank</t>
  </si>
  <si>
    <t>Safety/Security</t>
  </si>
  <si>
    <t>D4020 Standpipes</t>
  </si>
  <si>
    <t>D4020 Standpipes_blank</t>
  </si>
  <si>
    <t>D4030 Fire Protection Specialties</t>
  </si>
  <si>
    <t>D4030 Fire Protection Specialties_blank</t>
  </si>
  <si>
    <t>D4090 Other Fire Protection Systems</t>
  </si>
  <si>
    <t>D50 Electrical</t>
  </si>
  <si>
    <t>D5010 Electrical Service &amp; Distribution</t>
  </si>
  <si>
    <t>D5010 Electrical Service &amp; Distribution_blank</t>
  </si>
  <si>
    <t>Electrical</t>
  </si>
  <si>
    <t>D5020 Lighting and Branch Wiring</t>
  </si>
  <si>
    <t>D5020 Lighting and Branch Wiring_blank</t>
  </si>
  <si>
    <t>D5030 Communications &amp; Security</t>
  </si>
  <si>
    <t>Voice / Data System</t>
  </si>
  <si>
    <t>D5030 Communications &amp; Security_Voice / Data System</t>
  </si>
  <si>
    <t>Clock / Intercom System</t>
  </si>
  <si>
    <t>D5030 Communications &amp; Security_Clock / Intercom System</t>
  </si>
  <si>
    <t>Closed Circuit Surveillance</t>
  </si>
  <si>
    <t>D5030 Communications &amp; Security_Closed Circuit Surveillance</t>
  </si>
  <si>
    <t>Access Control System</t>
  </si>
  <si>
    <t>D5030 Communications &amp; Security_Access Control System</t>
  </si>
  <si>
    <t>Intrusion Alarm System</t>
  </si>
  <si>
    <t>D5030 Communications &amp; Security_Intrusion Alarm System</t>
  </si>
  <si>
    <t>Fire Alarm / Detection</t>
  </si>
  <si>
    <t>D5030 Communications &amp; Security_Fire Alarm / Detection</t>
  </si>
  <si>
    <t>Lighting Control System</t>
  </si>
  <si>
    <t>D5030 Communications &amp; Security_Lighting Control System</t>
  </si>
  <si>
    <t>D5090 Other Electrical Systems</t>
  </si>
  <si>
    <t>E   EQUIPMENT &amp; FURNISHINGS</t>
  </si>
  <si>
    <t>E10 Equipment</t>
  </si>
  <si>
    <t>E1010 Commercial Equipment</t>
  </si>
  <si>
    <t>Food Service</t>
  </si>
  <si>
    <t>E1010 Commercial Equipment_Food Service</t>
  </si>
  <si>
    <t>Furnishing, Fixtures, Equipment</t>
  </si>
  <si>
    <t>Vocational</t>
  </si>
  <si>
    <t>E1010 Commercial Equipment_Vocational</t>
  </si>
  <si>
    <t>E1020 Institutional Equipment</t>
  </si>
  <si>
    <t>Science</t>
  </si>
  <si>
    <t>E1020 Institutional Equipment_Science</t>
  </si>
  <si>
    <t>Art</t>
  </si>
  <si>
    <t>E1020 Institutional Equipment_Art</t>
  </si>
  <si>
    <t>Stage Performance</t>
  </si>
  <si>
    <t>E1020 Institutional Equipment_Stage Performance</t>
  </si>
  <si>
    <t>Restroom Accessories/Stalls</t>
  </si>
  <si>
    <t>E1020 Institutional Equipment_Restroom Accessories/Stalls</t>
  </si>
  <si>
    <t>E1030 Vehicular Equipment</t>
  </si>
  <si>
    <t>E1090 Other Equipment</t>
  </si>
  <si>
    <t>E20 Furnishings</t>
  </si>
  <si>
    <t>E2010 Fixed Furnishings</t>
  </si>
  <si>
    <t>E2010 Fixed Furnishings_blank</t>
  </si>
  <si>
    <t>E2020 Movable Furnishings</t>
  </si>
  <si>
    <t>E2020 Movable Furnishings_blank</t>
  </si>
  <si>
    <t>F    SPECIAL CONSTRUCTION &amp; DEMOLITION - NOT USED</t>
  </si>
  <si>
    <t>G  BUILDING SITE WORK</t>
  </si>
  <si>
    <t>G10 Site Preparation</t>
  </si>
  <si>
    <t>G20 Site Improvements</t>
  </si>
  <si>
    <t>G2010 Roadways</t>
  </si>
  <si>
    <t>G2010 Roadways_blank</t>
  </si>
  <si>
    <t>Parking/Traffic</t>
  </si>
  <si>
    <t>G2020 Parking Lots</t>
  </si>
  <si>
    <t>G2020 Parking Lots_blank</t>
  </si>
  <si>
    <t>G2030 Pedestrian Paving</t>
  </si>
  <si>
    <t>G2030 Pedestrian Paving_blank</t>
  </si>
  <si>
    <t>G2040 Site Development</t>
  </si>
  <si>
    <t>G2040 Site Development_blank</t>
  </si>
  <si>
    <t>Site</t>
  </si>
  <si>
    <t>G2050 Landscaping</t>
  </si>
  <si>
    <t>G2050 Landscaping_blank</t>
  </si>
  <si>
    <t>G30 Site Mechanical Utilities</t>
  </si>
  <si>
    <t>G3010 Water Supply</t>
  </si>
  <si>
    <t>Domestic</t>
  </si>
  <si>
    <t>G3010 Water Supply_Domestic</t>
  </si>
  <si>
    <t>Fire</t>
  </si>
  <si>
    <t>G3010 Water Supply_Fire</t>
  </si>
  <si>
    <t>G3020 Sanitary Sewer</t>
  </si>
  <si>
    <t>G3020 Sanitary Sewer_blank</t>
  </si>
  <si>
    <t>G3030 Storm Sewer</t>
  </si>
  <si>
    <t>G3030 Storm Sewer_blank</t>
  </si>
  <si>
    <t>G3040 Heating Distribution</t>
  </si>
  <si>
    <t>G3040 Heating Distribution_blank</t>
  </si>
  <si>
    <t>G3050 Cooling Distribution</t>
  </si>
  <si>
    <t>G3050 Cooling Distribution_blank</t>
  </si>
  <si>
    <t>G3060 Fuel Distribution</t>
  </si>
  <si>
    <t>G3060 Fuel Distribution_blank</t>
  </si>
  <si>
    <t>G3090 Other Site Mechanical Utilities</t>
  </si>
  <si>
    <t>G40 Site Electrical Utilities</t>
  </si>
  <si>
    <t>G4010 Electrical Distribution</t>
  </si>
  <si>
    <t>Service</t>
  </si>
  <si>
    <t>G4010 Electrical Distribution_Service</t>
  </si>
  <si>
    <t>Generator</t>
  </si>
  <si>
    <t>G4010 Electrical Distribution_Generator</t>
  </si>
  <si>
    <t>G4020 Site Lighting</t>
  </si>
  <si>
    <t>G4020 Site Lighting_blank</t>
  </si>
  <si>
    <t>G4030 Site Communications &amp; Security</t>
  </si>
  <si>
    <t>G4030 Site Communications &amp; Security_blank</t>
  </si>
  <si>
    <t>G4090 Other Site Electrical Utilities</t>
  </si>
  <si>
    <t>G90 Other Site Construction</t>
  </si>
  <si>
    <t>OTHER</t>
  </si>
  <si>
    <t>Description of System</t>
  </si>
  <si>
    <t>Unit of Measure</t>
  </si>
  <si>
    <t>Quantity</t>
  </si>
  <si>
    <t>Unit Budget</t>
  </si>
  <si>
    <t>Extended</t>
  </si>
  <si>
    <t>Physical Condition Budget Sub-Total</t>
  </si>
  <si>
    <t>Budgeted Development Costs</t>
  </si>
  <si>
    <t>Physical Condition Budget TOTAL</t>
  </si>
  <si>
    <t>Cost with Escalation to 2023</t>
  </si>
  <si>
    <t>Cost with Escalation to 2024</t>
  </si>
  <si>
    <t>Cost with Escalation to 2025</t>
  </si>
  <si>
    <t>Replacement Budget</t>
  </si>
  <si>
    <t>Facility Condition Index (FCI)</t>
  </si>
  <si>
    <t>SAFETY &amp; SECURITY IMPROVEMENTS</t>
  </si>
  <si>
    <t>If there are no S&amp;S recommendations, write "None at this time."</t>
  </si>
  <si>
    <t>PORTABLE CLASSROOMS</t>
  </si>
  <si>
    <t>Portable Number</t>
  </si>
  <si>
    <t>Age of Portable</t>
  </si>
  <si>
    <t>Square Footage</t>
  </si>
  <si>
    <t>Date Placed on Site</t>
  </si>
  <si>
    <t>none</t>
  </si>
  <si>
    <t>Occupancy</t>
  </si>
  <si>
    <t>Year Built</t>
  </si>
  <si>
    <t>Area</t>
  </si>
  <si>
    <t>Total Value</t>
  </si>
  <si>
    <t>TOTAL:</t>
  </si>
  <si>
    <t>LOOKUP KEY</t>
  </si>
  <si>
    <t>MFI Cateogory</t>
  </si>
  <si>
    <t>CRV</t>
  </si>
  <si>
    <t>Unit FCI</t>
  </si>
  <si>
    <t>Unit Green/Yellow/Red</t>
  </si>
  <si>
    <t>Major/Replace</t>
  </si>
  <si>
    <t>Minor/Moderate</t>
  </si>
  <si>
    <t>LOOKUP</t>
  </si>
  <si>
    <t>B2030</t>
  </si>
  <si>
    <t>Exterior Metal Hollow Doors</t>
  </si>
  <si>
    <t>Exterior  Metal Hollow Doors</t>
  </si>
  <si>
    <t>Exterior</t>
  </si>
  <si>
    <t>Hollow</t>
  </si>
  <si>
    <t>Exterior Garage Metal Overhead Doors</t>
  </si>
  <si>
    <t>Overhead</t>
  </si>
  <si>
    <t>Garage</t>
  </si>
  <si>
    <t>Exterior Metal Rollup Doors</t>
  </si>
  <si>
    <t>Exterior  Metal Rollup Doors</t>
  </si>
  <si>
    <t>Rollup</t>
  </si>
  <si>
    <t>Exterior Storefront Doors</t>
  </si>
  <si>
    <t>Exterior   Storefront Doors</t>
  </si>
  <si>
    <t>Exterior Wood Doors</t>
  </si>
  <si>
    <t>Exterior   Wood Doors</t>
  </si>
  <si>
    <t>C1020</t>
  </si>
  <si>
    <t>Interior Metal Hollow Doors</t>
  </si>
  <si>
    <t>Interior  Metal Hollow Doors</t>
  </si>
  <si>
    <t>Interior</t>
  </si>
  <si>
    <t>Interior Garage Metal Overhead Doors</t>
  </si>
  <si>
    <t>Interior Metal Rollup Doors</t>
  </si>
  <si>
    <t>Interior  Metal Rollup Doors</t>
  </si>
  <si>
    <t>Interior Storefront Doors</t>
  </si>
  <si>
    <t>Interior   Storefront Doors</t>
  </si>
  <si>
    <t>Interior Wood Doors</t>
  </si>
  <si>
    <t>Interior   Wood Doors</t>
  </si>
  <si>
    <t>D5010</t>
  </si>
  <si>
    <t>Electrical Distribution &amp; Service</t>
  </si>
  <si>
    <t>Electrical Distribution &amp;  Service</t>
  </si>
  <si>
    <t>&amp;</t>
  </si>
  <si>
    <t>Distribution</t>
  </si>
  <si>
    <t>D5020</t>
  </si>
  <si>
    <t>Lighting Branch Wiring</t>
  </si>
  <si>
    <t xml:space="preserve">Lighting Branch Wiring  </t>
  </si>
  <si>
    <t>Lighting</t>
  </si>
  <si>
    <t>Wiring</t>
  </si>
  <si>
    <t>Branch</t>
  </si>
  <si>
    <t>G4010</t>
  </si>
  <si>
    <t>Electrical Generator Distribution</t>
  </si>
  <si>
    <t>Electrical   Generator Distribution</t>
  </si>
  <si>
    <t>Electrical Service Distribution</t>
  </si>
  <si>
    <t>Electrical   Service Distribution</t>
  </si>
  <si>
    <t>G4020</t>
  </si>
  <si>
    <t>Exterior Site Lighting</t>
  </si>
  <si>
    <t xml:space="preserve">Exterior Site Lighting  </t>
  </si>
  <si>
    <t>B2010</t>
  </si>
  <si>
    <t>Exterior / Formed Concrete Walls</t>
  </si>
  <si>
    <t>Walls</t>
  </si>
  <si>
    <t>Formed</t>
  </si>
  <si>
    <t>/</t>
  </si>
  <si>
    <t>Tilt</t>
  </si>
  <si>
    <t>Exterior Wood w/ Framed Walls</t>
  </si>
  <si>
    <t>w/</t>
  </si>
  <si>
    <t>Siding</t>
  </si>
  <si>
    <t>Exterior Veneer w/Masonry Framed Walls</t>
  </si>
  <si>
    <t>w/Masonry</t>
  </si>
  <si>
    <t>Veneer</t>
  </si>
  <si>
    <t>Exterior Panel w/Metal Framed Walls</t>
  </si>
  <si>
    <t>w/Metal</t>
  </si>
  <si>
    <t>Panel</t>
  </si>
  <si>
    <t>Exterior w/Stucco Framed Walls</t>
  </si>
  <si>
    <t>Exterior  w/Stucco Framed Walls</t>
  </si>
  <si>
    <t>w/Stucco</t>
  </si>
  <si>
    <t>Exterior Masonry Walls</t>
  </si>
  <si>
    <t>Exterior   Masonry Walls</t>
  </si>
  <si>
    <t>B2020</t>
  </si>
  <si>
    <t>Exterior Aluminum/Steel Windows</t>
  </si>
  <si>
    <t>Exterior   Aluminum/Steel Windows</t>
  </si>
  <si>
    <t>Windows</t>
  </si>
  <si>
    <t>Exterior Clad Windows</t>
  </si>
  <si>
    <t>Exterior   Clad Windows</t>
  </si>
  <si>
    <t>Exterior Wall Curtain Windows</t>
  </si>
  <si>
    <t>Exterior  Wall Curtain Windows</t>
  </si>
  <si>
    <t>Curtain</t>
  </si>
  <si>
    <t>Wall</t>
  </si>
  <si>
    <t>Exterior Wood Windows</t>
  </si>
  <si>
    <t>Exterior   Wood Windows</t>
  </si>
  <si>
    <t>Windows (Aluminum/Steel)</t>
  </si>
  <si>
    <t xml:space="preserve">Windows (Aluminum/Steel)    </t>
  </si>
  <si>
    <t>Windows (Clad)</t>
  </si>
  <si>
    <t xml:space="preserve">Windows (Clad)    </t>
  </si>
  <si>
    <t>Windows (Wood)</t>
  </si>
  <si>
    <t xml:space="preserve">Windows (Wood)    </t>
  </si>
  <si>
    <t>B1010</t>
  </si>
  <si>
    <t>Floor Concrete Construction</t>
  </si>
  <si>
    <t>Floor   Concrete Construction</t>
  </si>
  <si>
    <t>Floor</t>
  </si>
  <si>
    <t>Construction</t>
  </si>
  <si>
    <t>Floor Steel Construction</t>
  </si>
  <si>
    <t>Floor   Steel Construction</t>
  </si>
  <si>
    <t>Floor Wood Construction</t>
  </si>
  <si>
    <t>Floor   Wood Construction</t>
  </si>
  <si>
    <t>B1020</t>
  </si>
  <si>
    <t>Roof Wood Construction</t>
  </si>
  <si>
    <t>Roof   Wood Construction</t>
  </si>
  <si>
    <t>Roof</t>
  </si>
  <si>
    <t>C3020</t>
  </si>
  <si>
    <t>Floor Carpet Finishes</t>
  </si>
  <si>
    <t>Floor   Carpet Finishes</t>
  </si>
  <si>
    <t>Finishes</t>
  </si>
  <si>
    <t>Carpet</t>
  </si>
  <si>
    <t>Floor Tile Ceramic Finishes</t>
  </si>
  <si>
    <t>Floor  Tile Ceramic Finishes</t>
  </si>
  <si>
    <t>Ceramic</t>
  </si>
  <si>
    <t>Tile</t>
  </si>
  <si>
    <t>Floor Applied Liquid Finishes</t>
  </si>
  <si>
    <t>Floor  Applied Liquid Finishes</t>
  </si>
  <si>
    <t>Liquid</t>
  </si>
  <si>
    <t>Applied</t>
  </si>
  <si>
    <t>Floor Concrete Polished Finishes</t>
  </si>
  <si>
    <t>Floor  Concrete Polished Finishes</t>
  </si>
  <si>
    <t>Polished</t>
  </si>
  <si>
    <t>Floor Sheet Resilient Finishes</t>
  </si>
  <si>
    <t>Floor  Sheet Resilient Finishes</t>
  </si>
  <si>
    <t>Sheet</t>
  </si>
  <si>
    <t>Floor Tile Resilient Finishes</t>
  </si>
  <si>
    <t>Floor  Tile Resilient Finishes</t>
  </si>
  <si>
    <t>Floor Sports floor Wood Finishes</t>
  </si>
  <si>
    <t>Floor  Sports floor Wood Finishes</t>
  </si>
  <si>
    <t>Sports floor</t>
  </si>
  <si>
    <t>A1010</t>
  </si>
  <si>
    <t>Standard Foundations</t>
  </si>
  <si>
    <t>Standard    Foundations</t>
  </si>
  <si>
    <t>Standard</t>
  </si>
  <si>
    <t>Foundations</t>
  </si>
  <si>
    <t>A1020</t>
  </si>
  <si>
    <t>Special Foundations</t>
  </si>
  <si>
    <t>Special    Foundations</t>
  </si>
  <si>
    <t>Special</t>
  </si>
  <si>
    <t>A1030</t>
  </si>
  <si>
    <t>Slab on Masonry Grade</t>
  </si>
  <si>
    <t>Slab  on Masonry  Grade</t>
  </si>
  <si>
    <t>Slab</t>
  </si>
  <si>
    <t>Grade</t>
  </si>
  <si>
    <t>on Masonry</t>
  </si>
  <si>
    <t>A2020</t>
  </si>
  <si>
    <t>Basement Walls</t>
  </si>
  <si>
    <t>Basement    Walls</t>
  </si>
  <si>
    <t>Basement</t>
  </si>
  <si>
    <t>E1010</t>
  </si>
  <si>
    <t>Commercial Service Food Equipment</t>
  </si>
  <si>
    <t>Commercial  Service Food Equipment</t>
  </si>
  <si>
    <t>Commercial</t>
  </si>
  <si>
    <t>Equipment</t>
  </si>
  <si>
    <t>Food</t>
  </si>
  <si>
    <t>Commercial Vocational Equipment</t>
  </si>
  <si>
    <t>Commercial   Vocational Equipment</t>
  </si>
  <si>
    <t>E1020</t>
  </si>
  <si>
    <t>Institutional Art Equipment</t>
  </si>
  <si>
    <t>Institutional   Art Equipment</t>
  </si>
  <si>
    <t>Institutional</t>
  </si>
  <si>
    <t>Institutional Accessories/Stalls Restroom Equipment</t>
  </si>
  <si>
    <t>Institutional  Accessories/Stalls Restroom Equipment</t>
  </si>
  <si>
    <t>Restroom</t>
  </si>
  <si>
    <t>Accessories/Stalls</t>
  </si>
  <si>
    <t>Institutional Science Equipment</t>
  </si>
  <si>
    <t>Institutional   Science Equipment</t>
  </si>
  <si>
    <t>Institutional Performance Stage Equipment</t>
  </si>
  <si>
    <t>Institutional  Performance Stage Equipment</t>
  </si>
  <si>
    <t>Stage</t>
  </si>
  <si>
    <t>Performance</t>
  </si>
  <si>
    <t>E2010</t>
  </si>
  <si>
    <t>Fixed Furnishings</t>
  </si>
  <si>
    <t>Fixed    Furnishings</t>
  </si>
  <si>
    <t>Fixed</t>
  </si>
  <si>
    <t>Furnishings</t>
  </si>
  <si>
    <t>E2020</t>
  </si>
  <si>
    <t>Movable Furnishings</t>
  </si>
  <si>
    <t>Movable    Furnishings</t>
  </si>
  <si>
    <t>Movable</t>
  </si>
  <si>
    <t>D3010</t>
  </si>
  <si>
    <t>Energy Supply</t>
  </si>
  <si>
    <t>Energy    Supply</t>
  </si>
  <si>
    <t>Energy</t>
  </si>
  <si>
    <t>Supply</t>
  </si>
  <si>
    <t>D3020</t>
  </si>
  <si>
    <t>Heat air handler Systems</t>
  </si>
  <si>
    <t xml:space="preserve">Heat air handler Systems  </t>
  </si>
  <si>
    <t>Heat</t>
  </si>
  <si>
    <t>Systems</t>
  </si>
  <si>
    <t>air handler</t>
  </si>
  <si>
    <t>Heat boiler Systems</t>
  </si>
  <si>
    <t xml:space="preserve">Heat boiler Systems  </t>
  </si>
  <si>
    <t>boiler</t>
  </si>
  <si>
    <t>Heat furnace Systems</t>
  </si>
  <si>
    <t xml:space="preserve">Heat furnace Systems  </t>
  </si>
  <si>
    <t>furnace</t>
  </si>
  <si>
    <t>Heat heat exchanger Systems</t>
  </si>
  <si>
    <t xml:space="preserve">Heat heat exchanger Systems  </t>
  </si>
  <si>
    <t>heat exchanger</t>
  </si>
  <si>
    <t>D3030</t>
  </si>
  <si>
    <t>Cooling component of air handler Systems</t>
  </si>
  <si>
    <t xml:space="preserve">Cooling component of air handler Systems  </t>
  </si>
  <si>
    <t>Cooling</t>
  </si>
  <si>
    <t>component of air handler</t>
  </si>
  <si>
    <t>Cooling Stand alone chiller Systems</t>
  </si>
  <si>
    <t xml:space="preserve">Cooling Stand alone chiller Systems  </t>
  </si>
  <si>
    <t>chiller</t>
  </si>
  <si>
    <t>D3040</t>
  </si>
  <si>
    <t>Distribution Ductwork Systems</t>
  </si>
  <si>
    <t>Distribution   Ductwork Systems</t>
  </si>
  <si>
    <t>Distribution water return &amp; supply Hot Systems</t>
  </si>
  <si>
    <t>Distribution  water return &amp; supply Hot Systems</t>
  </si>
  <si>
    <t>Hot</t>
  </si>
  <si>
    <t>water return &amp; supply</t>
  </si>
  <si>
    <t>D3050</t>
  </si>
  <si>
    <t>Terminal Package VAV unit ceiling</t>
  </si>
  <si>
    <t>Terminal  Package VAV unit ceiling</t>
  </si>
  <si>
    <t>Terminal</t>
  </si>
  <si>
    <t>ceiling</t>
  </si>
  <si>
    <t>VAV unit</t>
  </si>
  <si>
    <t>Package</t>
  </si>
  <si>
    <t>Terminal Package unit radiant</t>
  </si>
  <si>
    <t>Terminal  Package unit radiant</t>
  </si>
  <si>
    <t>radiant</t>
  </si>
  <si>
    <t>unit</t>
  </si>
  <si>
    <t>Terminal Package unit ventilator</t>
  </si>
  <si>
    <t>Terminal  Package unit ventilator</t>
  </si>
  <si>
    <t>ventilator</t>
  </si>
  <si>
    <t>D3060</t>
  </si>
  <si>
    <t>Controls Instrumentation</t>
  </si>
  <si>
    <t xml:space="preserve">Controls  Instrumentation  </t>
  </si>
  <si>
    <t>Controls</t>
  </si>
  <si>
    <t>Instrumentation</t>
  </si>
  <si>
    <t>D3070</t>
  </si>
  <si>
    <t>Systems &amp; Balancing Testing</t>
  </si>
  <si>
    <t>Systems  &amp; Balancing  Testing</t>
  </si>
  <si>
    <t>Testing</t>
  </si>
  <si>
    <t>&amp; Balancing</t>
  </si>
  <si>
    <t>C1010</t>
  </si>
  <si>
    <t>Partitions (Curtain) Wall</t>
  </si>
  <si>
    <t>Partitions (Curtain)    Wall</t>
  </si>
  <si>
    <t>Partitions (Curtain)</t>
  </si>
  <si>
    <t>Partitions (Framed)</t>
  </si>
  <si>
    <t xml:space="preserve">Partitions (Framed)    </t>
  </si>
  <si>
    <t>Partitions (Masonry)</t>
  </si>
  <si>
    <t xml:space="preserve">Partitions (Masonry)    </t>
  </si>
  <si>
    <t>C2010</t>
  </si>
  <si>
    <t>Stair Concrete Construction</t>
  </si>
  <si>
    <t>Stair   Concrete Construction</t>
  </si>
  <si>
    <t>Stair</t>
  </si>
  <si>
    <t>Stair Metal Construction</t>
  </si>
  <si>
    <t>Stair   Metal Construction</t>
  </si>
  <si>
    <t>Stair Wood Construction</t>
  </si>
  <si>
    <t>Stair   Wood Construction</t>
  </si>
  <si>
    <t>C2020</t>
  </si>
  <si>
    <t>Stair Fill Concrete Finishes</t>
  </si>
  <si>
    <t>Stair  Fill Concrete Finishes</t>
  </si>
  <si>
    <t>Fill</t>
  </si>
  <si>
    <t>Stair Grating Metal Finishes</t>
  </si>
  <si>
    <t>Stair  Grating Metal Finishes</t>
  </si>
  <si>
    <t>Grating</t>
  </si>
  <si>
    <t>Stair Resilient Finishes</t>
  </si>
  <si>
    <t>Stair   Resilient Finishes</t>
  </si>
  <si>
    <t>Stair Wood Finishes</t>
  </si>
  <si>
    <t>Stair   Wood Finishes</t>
  </si>
  <si>
    <t>C3010</t>
  </si>
  <si>
    <t>Wall Tile Ceramic Finishes</t>
  </si>
  <si>
    <t>Wall  Tile Ceramic Finishes</t>
  </si>
  <si>
    <t>Wall Formica Finishes</t>
  </si>
  <si>
    <t>Wall   Formica Finishes</t>
  </si>
  <si>
    <t>Wall on Masonry Paint Finishes</t>
  </si>
  <si>
    <t>Wall  on Masonry Paint Finishes</t>
  </si>
  <si>
    <t>Paint</t>
  </si>
  <si>
    <t>Wall Paneling Vinyl Finishes</t>
  </si>
  <si>
    <t>Wall  Paneling Vinyl Finishes</t>
  </si>
  <si>
    <t>Vinyl</t>
  </si>
  <si>
    <t>Paneling</t>
  </si>
  <si>
    <t>Wainscot Finishes</t>
  </si>
  <si>
    <t xml:space="preserve">   Wainscot Finishes</t>
  </si>
  <si>
    <t>Wallboard Finishes</t>
  </si>
  <si>
    <t xml:space="preserve">   Wallboard Finishes</t>
  </si>
  <si>
    <t>Wall Paneling Wood Finishes</t>
  </si>
  <si>
    <t>Wall  Paneling Wood Finishes</t>
  </si>
  <si>
    <t>C3030</t>
  </si>
  <si>
    <t>Ceiling Glued-Up Finishes</t>
  </si>
  <si>
    <t>Ceiling   Glued-Up Finishes</t>
  </si>
  <si>
    <t>Ceiling</t>
  </si>
  <si>
    <t>Glued-Up</t>
  </si>
  <si>
    <t>Ceiling Lay-In Finishes</t>
  </si>
  <si>
    <t>Ceiling   Lay-In Finishes</t>
  </si>
  <si>
    <t>Lay-In</t>
  </si>
  <si>
    <t>Ceiling Structure Painted Finishes</t>
  </si>
  <si>
    <t>Ceiling  Structure Painted Finishes</t>
  </si>
  <si>
    <t>Painted</t>
  </si>
  <si>
    <t>Structure</t>
  </si>
  <si>
    <t>Ceiling Tectum Finishes</t>
  </si>
  <si>
    <t>Ceiling   Tectum Finishes</t>
  </si>
  <si>
    <t>Ceiling Wallboard Finishes</t>
  </si>
  <si>
    <t>Ceiling   Wallboard Finishes</t>
  </si>
  <si>
    <t>D1010</t>
  </si>
  <si>
    <t>Elevators &amp; Lifts</t>
  </si>
  <si>
    <t>Elevators  &amp;  Lifts</t>
  </si>
  <si>
    <t>Elevators</t>
  </si>
  <si>
    <t>Lifts</t>
  </si>
  <si>
    <t>D1020</t>
  </si>
  <si>
    <t>Escalators &amp; Moving walks</t>
  </si>
  <si>
    <t>Escalators  &amp;  Moving walks</t>
  </si>
  <si>
    <t>Escalators</t>
  </si>
  <si>
    <t>Moving walks</t>
  </si>
  <si>
    <t>D1090</t>
  </si>
  <si>
    <t>Other Conveying Systems</t>
  </si>
  <si>
    <t>Other  Conveying  Systems</t>
  </si>
  <si>
    <t>Other</t>
  </si>
  <si>
    <t>Conveying</t>
  </si>
  <si>
    <t>G2010</t>
  </si>
  <si>
    <t>Roadways</t>
  </si>
  <si>
    <t xml:space="preserve">Roadways    </t>
  </si>
  <si>
    <t>G2020</t>
  </si>
  <si>
    <t>Parking Lots</t>
  </si>
  <si>
    <t>Parking    Lots</t>
  </si>
  <si>
    <t>Parking</t>
  </si>
  <si>
    <t>Lots</t>
  </si>
  <si>
    <t>G2030</t>
  </si>
  <si>
    <t>Pedestrian Paving</t>
  </si>
  <si>
    <t>Pedestrian    Paving</t>
  </si>
  <si>
    <t>Pedestrian</t>
  </si>
  <si>
    <t>Paving</t>
  </si>
  <si>
    <t>D2010</t>
  </si>
  <si>
    <t>Plumbing Fixtures</t>
  </si>
  <si>
    <t>Plumbing    Fixtures</t>
  </si>
  <si>
    <t>Fixtures</t>
  </si>
  <si>
    <t>D2020</t>
  </si>
  <si>
    <t>Domestic Distribution Water</t>
  </si>
  <si>
    <t>Domestic  Distribution  Water</t>
  </si>
  <si>
    <t>Water</t>
  </si>
  <si>
    <t>D2030</t>
  </si>
  <si>
    <t>Sanitary Waste</t>
  </si>
  <si>
    <t>Sanitary    Waste</t>
  </si>
  <si>
    <t>Sanitary</t>
  </si>
  <si>
    <t>Waste</t>
  </si>
  <si>
    <t>D2040</t>
  </si>
  <si>
    <t>Rain Drainage Water</t>
  </si>
  <si>
    <t>Rain  Drainage  Water</t>
  </si>
  <si>
    <t>Rain</t>
  </si>
  <si>
    <t>Drainage</t>
  </si>
  <si>
    <t>D4010</t>
  </si>
  <si>
    <t>Sprinklers</t>
  </si>
  <si>
    <t xml:space="preserve">Sprinklers    </t>
  </si>
  <si>
    <t>D4020</t>
  </si>
  <si>
    <t>Standpipes</t>
  </si>
  <si>
    <t xml:space="preserve">Standpipes    </t>
  </si>
  <si>
    <t>G3010</t>
  </si>
  <si>
    <t>Water Domestic Supply</t>
  </si>
  <si>
    <t>Water   Domestic Supply</t>
  </si>
  <si>
    <t>Water Fire Supply</t>
  </si>
  <si>
    <t>Water   Fire Supply</t>
  </si>
  <si>
    <t>Roof Concrete Construction</t>
  </si>
  <si>
    <t>Roof   Concrete Construction</t>
  </si>
  <si>
    <t>Roof Steel Construction</t>
  </si>
  <si>
    <t>Roof   Steel Construction</t>
  </si>
  <si>
    <t>B3010</t>
  </si>
  <si>
    <t>Roof Shingle Asphalt Coverings</t>
  </si>
  <si>
    <t>Roof  Shingle Asphalt Coverings</t>
  </si>
  <si>
    <t>Coverings</t>
  </si>
  <si>
    <t>Asphalt</t>
  </si>
  <si>
    <t>Shingle</t>
  </si>
  <si>
    <t>Roof Built-Up Coverings</t>
  </si>
  <si>
    <t>Roof   Built-Up Coverings</t>
  </si>
  <si>
    <t>Roof Tile Concrete Coverings</t>
  </si>
  <si>
    <t>Roof  Tile Concrete Coverings</t>
  </si>
  <si>
    <t>Roof Gravel Coverings</t>
  </si>
  <si>
    <t>Roof   Gravel Coverings</t>
  </si>
  <si>
    <t>Roof Metal Coverings</t>
  </si>
  <si>
    <t>Roof   Metal Coverings</t>
  </si>
  <si>
    <t>Roof Bitumen Modified Coverings</t>
  </si>
  <si>
    <t>Roof  Bitumen Modified Coverings</t>
  </si>
  <si>
    <t>Modified</t>
  </si>
  <si>
    <t>Bitumen</t>
  </si>
  <si>
    <t>Roof Ply Single Coverings</t>
  </si>
  <si>
    <t>Roof  Ply Single Coverings</t>
  </si>
  <si>
    <t>Single</t>
  </si>
  <si>
    <t>Ply</t>
  </si>
  <si>
    <t>Roof Tile Spanish Coverings</t>
  </si>
  <si>
    <t>Roof  Tile Spanish Coverings</t>
  </si>
  <si>
    <t>Spanish</t>
  </si>
  <si>
    <t>B3020</t>
  </si>
  <si>
    <t>Roof Hatch Access Openings</t>
  </si>
  <si>
    <t>Roof  Hatch Access Openings</t>
  </si>
  <si>
    <t>Openings</t>
  </si>
  <si>
    <t>Access</t>
  </si>
  <si>
    <t>Hatch</t>
  </si>
  <si>
    <t>Roof Skylights Openings</t>
  </si>
  <si>
    <t>Roof   Skylights Openings</t>
  </si>
  <si>
    <t>D4030</t>
  </si>
  <si>
    <t>Fire Protection</t>
  </si>
  <si>
    <t>Fire    Protection</t>
  </si>
  <si>
    <t>Protection</t>
  </si>
  <si>
    <t>D5030</t>
  </si>
  <si>
    <t>Communications Access Control System</t>
  </si>
  <si>
    <t xml:space="preserve">Communications  Access Control System  </t>
  </si>
  <si>
    <t>Communications</t>
  </si>
  <si>
    <t xml:space="preserve">Access Control System  </t>
  </si>
  <si>
    <t>Communications Clock / Intercom System</t>
  </si>
  <si>
    <t xml:space="preserve">Communications  Clock / Intercom System  </t>
  </si>
  <si>
    <t xml:space="preserve">Clock / Intercom System  </t>
  </si>
  <si>
    <t>Communications Closed Circuit Surveillance</t>
  </si>
  <si>
    <t xml:space="preserve">Communications  Closed Circuit Surveillance  </t>
  </si>
  <si>
    <t xml:space="preserve">Closed Circuit Surveillance  </t>
  </si>
  <si>
    <t>Communications Fire Alarm / Detection</t>
  </si>
  <si>
    <t xml:space="preserve">Communications  Fire Alarm / Detection  </t>
  </si>
  <si>
    <t xml:space="preserve">Fire Alarm / Detection  </t>
  </si>
  <si>
    <t>Communications Intrusion Alarm System</t>
  </si>
  <si>
    <t xml:space="preserve">Communications  Intrusion Alarm System  </t>
  </si>
  <si>
    <t xml:space="preserve">Intrusion Alarm System  </t>
  </si>
  <si>
    <t>Communications Lighting Control System</t>
  </si>
  <si>
    <t xml:space="preserve">Communications  Lighting Control System  </t>
  </si>
  <si>
    <t xml:space="preserve">Lighting Control System  </t>
  </si>
  <si>
    <t>Communications Voice / Data System</t>
  </si>
  <si>
    <t xml:space="preserve">Communications  Voice / Data System  </t>
  </si>
  <si>
    <t xml:space="preserve">Voice / Data System  </t>
  </si>
  <si>
    <t>G2040</t>
  </si>
  <si>
    <t>Site Development</t>
  </si>
  <si>
    <t>Site    Development</t>
  </si>
  <si>
    <t>Development</t>
  </si>
  <si>
    <t>G2050</t>
  </si>
  <si>
    <t>Landscaping</t>
  </si>
  <si>
    <t xml:space="preserve">Landscaping    </t>
  </si>
  <si>
    <t>G3020</t>
  </si>
  <si>
    <t>Sanitary Sewer</t>
  </si>
  <si>
    <t>Sanitary    Sewer</t>
  </si>
  <si>
    <t>Sewer</t>
  </si>
  <si>
    <t>G3030</t>
  </si>
  <si>
    <t>Storm Sewer</t>
  </si>
  <si>
    <t>Storm    Sewer</t>
  </si>
  <si>
    <t>Storm</t>
  </si>
  <si>
    <t>G3040</t>
  </si>
  <si>
    <t>Heating Distribution</t>
  </si>
  <si>
    <t>Heating    Distribution</t>
  </si>
  <si>
    <t>Heating</t>
  </si>
  <si>
    <t>G3050</t>
  </si>
  <si>
    <t>Cooling Distribution</t>
  </si>
  <si>
    <t>Cooling    Distribution</t>
  </si>
  <si>
    <t>G3060</t>
  </si>
  <si>
    <t>Fuel Distribution</t>
  </si>
  <si>
    <t>Fuel    Distribution</t>
  </si>
  <si>
    <t>Fuel</t>
  </si>
  <si>
    <t>G4030</t>
  </si>
  <si>
    <t>Site Security Communications</t>
  </si>
  <si>
    <t>Site  Security  Communications</t>
  </si>
  <si>
    <t>Security</t>
  </si>
  <si>
    <t>School Name</t>
  </si>
  <si>
    <t>Level I</t>
  </si>
  <si>
    <t>Level II</t>
  </si>
  <si>
    <t>Level III</t>
  </si>
  <si>
    <t>Type</t>
  </si>
  <si>
    <t>Deficiency</t>
  </si>
  <si>
    <t>Replacement Value</t>
  </si>
  <si>
    <t>Sys CI</t>
  </si>
  <si>
    <t>Def. Category</t>
  </si>
  <si>
    <t>#</t>
  </si>
  <si>
    <t>% Sys by Def. Category</t>
  </si>
  <si>
    <t>$ Repair</t>
  </si>
  <si>
    <t>$ Replace</t>
  </si>
  <si>
    <t>%Major/Replace</t>
  </si>
  <si>
    <t>% SYS CI &lt;HIDE&gt;</t>
  </si>
  <si>
    <t>% SYS CI</t>
  </si>
  <si>
    <t>R/Y/G</t>
  </si>
  <si>
    <t>Auto Generated Notes</t>
  </si>
  <si>
    <t>DRAFT NOTES IF NO MAJOR/REPLACE &lt;HIDE&gt;</t>
  </si>
  <si>
    <t>Major/Replacements (clean text) &lt;HIDE&gt;</t>
  </si>
  <si>
    <t>Minor/Moderate (clean text) &lt;HIDE&gt;</t>
  </si>
  <si>
    <t>Concatenated notes (raw)</t>
  </si>
  <si>
    <t>Notes for Manual Entry</t>
  </si>
  <si>
    <t xml:space="preserve">Minor </t>
  </si>
  <si>
    <t xml:space="preserve">Major </t>
  </si>
  <si>
    <t>Forwarded Unit Budget</t>
  </si>
  <si>
    <t>Cost Estimator Notes</t>
  </si>
  <si>
    <t>blank</t>
  </si>
  <si>
    <t>A20 Basement Construction</t>
  </si>
  <si>
    <t>Per Window</t>
  </si>
  <si>
    <t>Per leaf</t>
  </si>
  <si>
    <t xml:space="preserve">Per leaf </t>
  </si>
  <si>
    <t xml:space="preserve">Per Single bay </t>
  </si>
  <si>
    <t>By Building GFA</t>
  </si>
  <si>
    <t>Per hatch</t>
  </si>
  <si>
    <t>Per Unit</t>
  </si>
  <si>
    <t>Cost/Flight</t>
  </si>
  <si>
    <t>Price per unit</t>
  </si>
  <si>
    <t>D2090 Other Plumbing Systems</t>
  </si>
  <si>
    <t>Cost/SF of building GFA</t>
  </si>
  <si>
    <t>Cost/SF of Stage Performance Area</t>
  </si>
  <si>
    <t>Cost/SF of surface area</t>
  </si>
  <si>
    <t>Cost/LF of fencing</t>
  </si>
  <si>
    <t>Cost/SF of irrigated area</t>
  </si>
  <si>
    <t>Cost/LF of pipe</t>
  </si>
  <si>
    <t>Cost/SF of area to be drained</t>
  </si>
  <si>
    <t>Cost/LF of HHW/Steam piping</t>
  </si>
  <si>
    <t>Cost/LF of CHW piping</t>
  </si>
  <si>
    <t>Cost/LF of gas piping</t>
  </si>
  <si>
    <t>Cost/occurrence</t>
  </si>
  <si>
    <t>Budgeted Replacement Cost of Buildings by Type</t>
  </si>
  <si>
    <t>Forwarded FCI Budget</t>
  </si>
  <si>
    <t>Elementary School</t>
  </si>
  <si>
    <t>Middle School</t>
  </si>
  <si>
    <t>K-8 School</t>
  </si>
  <si>
    <t>High School</t>
  </si>
  <si>
    <t>Gymnasium Building</t>
  </si>
  <si>
    <t>Pool Building</t>
  </si>
  <si>
    <t>Vocational Building</t>
  </si>
  <si>
    <t>Administrative Building</t>
  </si>
  <si>
    <t>Maintenance Building</t>
  </si>
  <si>
    <t>Storage Building</t>
  </si>
  <si>
    <t>Warehouse</t>
  </si>
  <si>
    <t>Food Services Building</t>
  </si>
  <si>
    <t>Bus Shelter</t>
  </si>
  <si>
    <t>Bus Garage</t>
  </si>
  <si>
    <t>Athletic Grandstand</t>
  </si>
  <si>
    <t>Large Greenhouse</t>
  </si>
  <si>
    <t>Other Commercial</t>
  </si>
  <si>
    <t>FCI Reference</t>
  </si>
  <si>
    <t>Note:</t>
  </si>
  <si>
    <t>Small support out buildings shall be assessed as "other" under the primary building assessment and not as their own building assessment</t>
  </si>
  <si>
    <t>The Raw Budget number includes all cost associated with a contractors bid number on bid day.</t>
  </si>
  <si>
    <t>The Raw Budget number does not include any value for additional  FFE (Fixtures/Furnishings/Equipment)</t>
  </si>
  <si>
    <t>The Raw Budget number does not include any value for Owner/PM Overhead management fees.</t>
  </si>
  <si>
    <t>The Raw Budget number does not include any value for "Extensive Testing" other than testing noted in standard specifications.</t>
  </si>
  <si>
    <t>Dashboard Integration Page</t>
  </si>
  <si>
    <t>Scorecard Categories - Condition Assessment-</t>
  </si>
  <si>
    <t>PCA Raw Comment Links</t>
  </si>
  <si>
    <t>Assessor Narrative</t>
  </si>
  <si>
    <r>
      <t xml:space="preserve">Assessor Rating 
</t>
    </r>
    <r>
      <rPr>
        <b/>
        <i/>
        <sz val="11"/>
        <color theme="1"/>
        <rFont val="Calibri"/>
        <family val="2"/>
        <scheme val="minor"/>
      </rPr>
      <t>Red, Yellow, Green</t>
    </r>
  </si>
  <si>
    <t>To copy &amp; paste PCA Raw Comments: Copy the text.  Right click and choose paste option "Values (V)".</t>
  </si>
  <si>
    <t>Select a color rating from the dropdown only.  The first letter of the color must be capitalized.</t>
  </si>
  <si>
    <t>Green</t>
  </si>
  <si>
    <t xml:space="preserve">Yellow </t>
  </si>
  <si>
    <t>If the narrative is "Included in Main Building report" or something similar, still choose a color rating based on how the category is rated in the referenced workbook.</t>
  </si>
  <si>
    <t>Red</t>
  </si>
  <si>
    <t>HVAC/Plumbing</t>
  </si>
  <si>
    <t>ADA</t>
  </si>
  <si>
    <t>Use consistent punctuation throughout all narratives.</t>
  </si>
  <si>
    <t>Line items from PCA "Other" section.  
[For reference only; does not populate on Dashboard]</t>
  </si>
  <si>
    <t>Priority Projects</t>
  </si>
  <si>
    <t>Priority 1:  Mission Critical
Priority 2: Indirect Impact To The Building
Priority 3: Recommended</t>
  </si>
  <si>
    <r>
      <rPr>
        <sz val="11"/>
        <color rgb="FFFF0000"/>
        <rFont val="Calibri"/>
        <family val="2"/>
        <scheme val="minor"/>
      </rPr>
      <t xml:space="preserve">Use a period after each Priority Project line item (this is how Dashboard knows to separate line items).  If you want to combine two comments into one line item, separate them by a semicolon.  
</t>
    </r>
    <r>
      <rPr>
        <i/>
        <sz val="11"/>
        <color theme="4"/>
        <rFont val="Calibri"/>
        <family val="2"/>
        <scheme val="minor"/>
      </rPr>
      <t>i.e., Replace HVAC system components at end of useful life; test and balance new HVAC systems.</t>
    </r>
    <r>
      <rPr>
        <i/>
        <sz val="11"/>
        <color rgb="FFFF0000"/>
        <rFont val="Calibri"/>
        <family val="2"/>
        <scheme val="minor"/>
      </rPr>
      <t xml:space="preserve"> </t>
    </r>
    <r>
      <rPr>
        <sz val="11"/>
        <color rgb="FFFF0000"/>
        <rFont val="Calibri"/>
        <family val="2"/>
        <scheme val="minor"/>
      </rPr>
      <t xml:space="preserve"> Dashboard would publish this as ONE recommendation.
Make sure there are no spaces after the last sentence in the Priority/Additional Projects cells.</t>
    </r>
    <r>
      <rPr>
        <b/>
        <i/>
        <u/>
        <sz val="11"/>
        <color rgb="FFFF0000"/>
        <rFont val="Calibri"/>
        <family val="2"/>
        <scheme val="minor"/>
      </rPr>
      <t xml:space="preserve">
</t>
    </r>
    <r>
      <rPr>
        <b/>
        <u/>
        <sz val="11"/>
        <color theme="0" tint="-0.34998626667073579"/>
        <rFont val="Calibri"/>
        <family val="2"/>
        <scheme val="minor"/>
      </rPr>
      <t xml:space="preserve">
EXAMPLES OF PRIORITY PROJECTS</t>
    </r>
    <r>
      <rPr>
        <sz val="11"/>
        <color theme="0" tint="-0.34998626667073579"/>
        <rFont val="Calibri"/>
        <family val="2"/>
        <scheme val="minor"/>
      </rPr>
      <t xml:space="preserve">
</t>
    </r>
    <r>
      <rPr>
        <b/>
        <sz val="11"/>
        <color theme="0" tint="-0.34998626667073579"/>
        <rFont val="Calibri"/>
        <family val="2"/>
        <scheme val="minor"/>
      </rPr>
      <t xml:space="preserve">Please add your own commentary specific to this facility in cell B19.  Separate line items with periods.    </t>
    </r>
    <r>
      <rPr>
        <sz val="11"/>
        <color theme="0" tint="-0.34998626667073579"/>
        <rFont val="Calibri"/>
        <family val="2"/>
        <scheme val="minor"/>
      </rPr>
      <t xml:space="preserve">                                               
Roof is nearing end of useful life, is worn, and in need of replacement.
Many of the HVAC system and supporting exterior electrical components are nearing the end of their useful life.
Playground equipment, drainage, and fall protection in need of repair.                    </t>
    </r>
  </si>
  <si>
    <t>Additional Projects if Funds Become Available</t>
  </si>
  <si>
    <r>
      <rPr>
        <b/>
        <u/>
        <sz val="11"/>
        <color theme="0" tint="-0.34998626667073579"/>
        <rFont val="Calibri"/>
        <family val="2"/>
        <scheme val="minor"/>
      </rPr>
      <t>EXAMPLES OF ADDITIONAL PROJECTS</t>
    </r>
    <r>
      <rPr>
        <b/>
        <sz val="11"/>
        <color theme="0" tint="-0.34998626667073579"/>
        <rFont val="Calibri"/>
        <family val="2"/>
        <scheme val="minor"/>
      </rPr>
      <t xml:space="preserve">
Please add your own commentary specific to this facility in cell B20.  Separate line items with periods.   
</t>
    </r>
    <r>
      <rPr>
        <sz val="11"/>
        <color theme="0" tint="-0.34998626667073579"/>
        <rFont val="Calibri"/>
        <family val="2"/>
        <scheme val="minor"/>
      </rPr>
      <t xml:space="preserve">
Exterior windows need re-caulking and repair.
Brick veneer expansion joints and weep holes need repair or replacement.
Parking lot and driveway asphalt needs resealing.
Erosion in rear of facility should be corrected.
Minor ADA improvements need to be made to front of the building and various restrooms. </t>
    </r>
    <r>
      <rPr>
        <sz val="11"/>
        <color theme="1"/>
        <rFont val="Calibri"/>
        <family val="2"/>
        <scheme val="minor"/>
      </rPr>
      <t xml:space="preserve">    </t>
    </r>
  </si>
  <si>
    <t>Scorecard Categories - Educational Adequacy Assessment-</t>
  </si>
  <si>
    <t>N/A</t>
  </si>
  <si>
    <t>If a category is not applicable to this site, leave the ASSESSOR NARRATIVE and COLOR RATING cells blank &amp; put "N/A" in column D.</t>
  </si>
  <si>
    <t>Core Classrooms</t>
  </si>
  <si>
    <t>Special Education</t>
  </si>
  <si>
    <t>Visual and Performing Arts</t>
  </si>
  <si>
    <t>Physical Education</t>
  </si>
  <si>
    <t>Cafeteria</t>
  </si>
  <si>
    <t>Library</t>
  </si>
  <si>
    <t>Occupant Flow</t>
  </si>
  <si>
    <t>Administration</t>
  </si>
  <si>
    <t>See Safety &amp; Security recommendations on the Facility Details page.</t>
  </si>
  <si>
    <t>Site Athletics</t>
  </si>
  <si>
    <t>Site Playgrounds/Extracurricular</t>
  </si>
  <si>
    <t>VoAg or CTE</t>
  </si>
  <si>
    <t>Actions to improve the educational environment</t>
  </si>
  <si>
    <r>
      <rPr>
        <b/>
        <u/>
        <sz val="11"/>
        <color theme="0" tint="-0.34998626667073579"/>
        <rFont val="Calibri"/>
        <family val="2"/>
        <scheme val="minor"/>
      </rPr>
      <t xml:space="preserve">EXAMPLE OF ACTIONS TO IMPROVE… </t>
    </r>
    <r>
      <rPr>
        <b/>
        <sz val="11"/>
        <color theme="0" tint="-0.34998626667073579"/>
        <rFont val="Calibri"/>
        <family val="2"/>
        <scheme val="minor"/>
      </rPr>
      <t xml:space="preserve">
Please add your own commentary specific to this facility in cell B35. 
</t>
    </r>
    <r>
      <rPr>
        <sz val="11"/>
        <color theme="0" tint="-0.34998626667073579"/>
        <rFont val="Calibri"/>
        <family val="2"/>
        <scheme val="minor"/>
      </rPr>
      <t xml:space="preserve">
The educational environment of the facility is in good condition. Security enhancements to campus should be made. Minor maintenance such as window resealing and chalkboard replacement are needed.</t>
    </r>
  </si>
  <si>
    <t>Current Enrollment</t>
  </si>
  <si>
    <t>Functional Capacity</t>
  </si>
  <si>
    <t>Use studometer to populate data.</t>
  </si>
  <si>
    <t>Current Capacity</t>
  </si>
  <si>
    <t>Educational Programming</t>
  </si>
  <si>
    <t>Disregard this section.  Educational Programming is no longer published on Dashboard.</t>
  </si>
  <si>
    <r>
      <rPr>
        <b/>
        <u/>
        <sz val="11"/>
        <color theme="0" tint="-0.34998626667073579"/>
        <rFont val="Calibri"/>
        <family val="2"/>
        <scheme val="minor"/>
      </rPr>
      <t>EXAMPLE OF EXECUTIVE SUMMARY</t>
    </r>
    <r>
      <rPr>
        <sz val="11"/>
        <color theme="0" tint="-0.34998626667073579"/>
        <rFont val="Calibri"/>
        <family val="2"/>
        <scheme val="minor"/>
      </rPr>
      <t xml:space="preserve">
</t>
    </r>
    <r>
      <rPr>
        <b/>
        <sz val="11"/>
        <color theme="0" tint="-0.34998626667073579"/>
        <rFont val="Calibri"/>
        <family val="2"/>
        <scheme val="minor"/>
      </rPr>
      <t xml:space="preserve">Please add your own commentary specific to this facility in cell B41. </t>
    </r>
    <r>
      <rPr>
        <sz val="11"/>
        <color theme="0" tint="-0.34998626667073579"/>
        <rFont val="Calibri"/>
        <family val="2"/>
        <scheme val="minor"/>
      </rPr>
      <t xml:space="preserve">
Built in 1998, the Copperfield Elementary School facility is in good condition but is in need of maintenance and repair of various building components. The roof should be replaced due to age and substantial degranulation and older HVAC system components should be addressed at the time of replacement. In addition, security fencing should be installed. In all, the interior of the facility is in good condition and provides a well-maintained educational environment that is conducive to learning. With adequate maintenance, the campus should continue to serve the district for an additional 25-30 years.</t>
    </r>
  </si>
  <si>
    <t>Insert information below from "Physical Condition Assessment Sheet"</t>
  </si>
  <si>
    <t>Cost with Escalation to June 2021</t>
  </si>
  <si>
    <t>Cost with Escalation to June 2022</t>
  </si>
  <si>
    <t>Cost with Escalation to June 2023</t>
  </si>
  <si>
    <t>Insert information below from "Base Information Sheet"</t>
  </si>
  <si>
    <r>
      <t xml:space="preserve">B61 &amp; C61 is where you will enter other buildings/additions/renovations at this site.  Enter the </t>
    </r>
    <r>
      <rPr>
        <b/>
        <sz val="11"/>
        <color rgb="FFFF0000"/>
        <rFont val="Calibri"/>
        <family val="2"/>
        <scheme val="minor"/>
      </rPr>
      <t xml:space="preserve">name (B61) </t>
    </r>
    <r>
      <rPr>
        <sz val="11"/>
        <color rgb="FFFF0000"/>
        <rFont val="Calibri"/>
        <family val="2"/>
        <scheme val="minor"/>
      </rPr>
      <t xml:space="preserve">and </t>
    </r>
    <r>
      <rPr>
        <b/>
        <sz val="11"/>
        <color rgb="FFFF0000"/>
        <rFont val="Calibri"/>
        <family val="2"/>
        <scheme val="minor"/>
      </rPr>
      <t>construction date (C61)</t>
    </r>
    <r>
      <rPr>
        <sz val="11"/>
        <color rgb="FFFF0000"/>
        <rFont val="Calibri"/>
        <family val="2"/>
        <scheme val="minor"/>
      </rPr>
      <t>.  Use the exact format below (no spaces between years).</t>
    </r>
  </si>
  <si>
    <t>Campus History:</t>
  </si>
  <si>
    <r>
      <rPr>
        <b/>
        <u/>
        <sz val="11"/>
        <color rgb="FF0070C0"/>
        <rFont val="Calibri"/>
        <family val="2"/>
        <scheme val="minor"/>
      </rPr>
      <t>B61:</t>
    </r>
    <r>
      <rPr>
        <sz val="11"/>
        <color rgb="FF0070C0"/>
        <rFont val="Calibri"/>
        <family val="2"/>
        <scheme val="minor"/>
      </rPr>
      <t xml:space="preserve">  Original Main Building, Gym, Cafeteria Building            </t>
    </r>
    <r>
      <rPr>
        <b/>
        <u/>
        <sz val="11"/>
        <color rgb="FF0070C0"/>
        <rFont val="Calibri"/>
        <family val="2"/>
        <scheme val="minor"/>
      </rPr>
      <t xml:space="preserve"> C61: </t>
    </r>
    <r>
      <rPr>
        <sz val="11"/>
        <color rgb="FF0070C0"/>
        <rFont val="Calibri"/>
        <family val="2"/>
        <scheme val="minor"/>
      </rPr>
      <t xml:space="preserve">    1984,1996,2005</t>
    </r>
  </si>
  <si>
    <t>Populated from the Additions fields in the Renovations, Additions &amp; Prtbls</t>
  </si>
  <si>
    <t>District/Campus?</t>
  </si>
  <si>
    <t>Hide rows not used, do not delete rows</t>
  </si>
  <si>
    <t>You Populate</t>
  </si>
  <si>
    <t>Auto Populated</t>
  </si>
  <si>
    <t>Existing Enrollment</t>
  </si>
  <si>
    <t>From Campus Survey</t>
  </si>
  <si>
    <t>Staff Capacity</t>
  </si>
  <si>
    <t>Functional Student Capacity</t>
  </si>
  <si>
    <t>From School Educational Capacity Overview Table</t>
  </si>
  <si>
    <t>Determine if campus is primary/secondary and if compliant/non-compliant then insert capacity number selected into "Functional Student Capacity" box after completing "Classroom Capacity Section"</t>
  </si>
  <si>
    <t>Educational Capacity Overview</t>
  </si>
  <si>
    <t>90% of Raw</t>
  </si>
  <si>
    <t xml:space="preserve">Existing </t>
  </si>
  <si>
    <t>TEA # of recommended labs:</t>
  </si>
  <si>
    <t>School Type</t>
  </si>
  <si>
    <t>Room Size</t>
  </si>
  <si>
    <t>Raw Capacity</t>
  </si>
  <si>
    <t>% of Raw Capacity</t>
  </si>
  <si>
    <t>% of Functional Capacity</t>
  </si>
  <si>
    <t>Middle/ Junior High Science</t>
  </si>
  <si>
    <t>High School Science</t>
  </si>
  <si>
    <t>Primary Schools/Elementary Schools/Early Learning, Pre-K, K, 1st - 6th</t>
  </si>
  <si>
    <t>Compliant</t>
  </si>
  <si>
    <t>Non-Compliant</t>
  </si>
  <si>
    <t>Secondary School/Junior High/High School</t>
  </si>
  <si>
    <t>Classroom Capacity Section</t>
  </si>
  <si>
    <t>Not Required to use room number</t>
  </si>
  <si>
    <t>NONCOMPLIANT Pre-K, K, &amp; 1st Rooms Only</t>
  </si>
  <si>
    <t># of Rooms</t>
  </si>
  <si>
    <t>Room Number</t>
  </si>
  <si>
    <t>Sq. Ft.</t>
  </si>
  <si>
    <t xml:space="preserve">Review campus survey to assist in completing table. </t>
  </si>
  <si>
    <t>General Use Classrooms, Homerooms</t>
  </si>
  <si>
    <t>Room # or location</t>
  </si>
  <si>
    <t>Room SqFt</t>
  </si>
  <si>
    <t>Specialized Learning Areas, Vocational/ROTC/Special Use Rooms/Band/Art/Choir/Gym Homeroom</t>
  </si>
  <si>
    <t># of Rooms*</t>
  </si>
  <si>
    <t>Room/Program Name</t>
  </si>
  <si>
    <t>Clrm. Sq. Ft.</t>
  </si>
  <si>
    <t>Shop Sq. Ft.</t>
  </si>
  <si>
    <t>Adequate Vent.</t>
  </si>
  <si>
    <t>Adequate Storage</t>
  </si>
  <si>
    <t>Hard Floor</t>
  </si>
  <si>
    <t>* If district is using classroom space as "Homeroom" count classroom for capacity.</t>
  </si>
  <si>
    <t>Special Instructional Rooms, DAEP, …...</t>
  </si>
  <si>
    <t>SqFt</t>
  </si>
  <si>
    <t>Use</t>
  </si>
  <si>
    <t>Classroom usually would not be used as Homeroom, don't indicate in # of rooms column.  SqFt of room is not added to total SqFt.</t>
  </si>
  <si>
    <t>Special Education Rooms, Life Skills</t>
  </si>
  <si>
    <t>Life Skills Kitchen Area</t>
  </si>
  <si>
    <t>Changing Area</t>
  </si>
  <si>
    <t>Computer labs</t>
  </si>
  <si>
    <t>Classroom/Homeroom SqFt *</t>
  </si>
  <si>
    <t>Actual SqFt</t>
  </si>
  <si>
    <t>+ / (-) TEA 900 sq. ft. requirement</t>
  </si>
  <si>
    <t>Maximum number of computers</t>
  </si>
  <si>
    <t>Current number of computers</t>
  </si>
  <si>
    <t>PC's + / (-) TEA requirement</t>
  </si>
  <si>
    <t>Good configuration</t>
  </si>
  <si>
    <t xml:space="preserve">* If classroom is used as "Homeroom" use 700SqFt in Classroom SqFt Column and count in # of rooms column. </t>
  </si>
  <si>
    <t>Science - prim./elem./interim.</t>
  </si>
  <si>
    <t>Room number</t>
  </si>
  <si>
    <t>+ / (-) TEA</t>
  </si>
  <si>
    <t>Lecture &amp; lab together</t>
  </si>
  <si>
    <t>Max # of students</t>
  </si>
  <si>
    <t>Number of  lab stations</t>
  </si>
  <si>
    <t xml:space="preserve">Adequate storage </t>
  </si>
  <si>
    <t>Stand alone or single use Science Classrooms, with or without Lab</t>
  </si>
  <si>
    <t>If room is a stand-alone lab (not lecture/lab), then change 900 min. to 800 min.</t>
  </si>
  <si>
    <t>Science - middle/junior high</t>
  </si>
  <si>
    <t>+ / (-) TEA **</t>
  </si>
  <si>
    <t>Actual Counter Length</t>
  </si>
  <si>
    <t>Eye wash &amp; Shower</t>
  </si>
  <si>
    <t>** If room is a stand-alone lab (not lecture/lab), then change 1,200 min. to 1,000 min.</t>
  </si>
  <si>
    <t>Science - high school</t>
  </si>
  <si>
    <t>** If room is a stand-alone lab (not lecture/lab), then change 1,400 min. to 1,200 min.</t>
  </si>
  <si>
    <t>Mis.</t>
  </si>
  <si>
    <t>Total Homerooms</t>
  </si>
  <si>
    <t>Total SqFt of Homerooms</t>
  </si>
  <si>
    <t>Average Room SqFt</t>
  </si>
  <si>
    <t xml:space="preserve">Student Support </t>
  </si>
  <si>
    <t>Nurses clinic</t>
  </si>
  <si>
    <t>Square Feet</t>
  </si>
  <si>
    <t>+ / (-) recommended</t>
  </si>
  <si>
    <t>Number of Beds</t>
  </si>
  <si>
    <t>Number of Private Beds</t>
  </si>
  <si>
    <t>Restroom within clinic</t>
  </si>
  <si>
    <t>Sink</t>
  </si>
  <si>
    <t>Refrigerator</t>
  </si>
  <si>
    <t>Secure Storage</t>
  </si>
  <si>
    <t>Near front office</t>
  </si>
  <si>
    <t>Total sq. ft.</t>
  </si>
  <si>
    <t>Total of stacks, office, work, Media, &amp; Storage</t>
  </si>
  <si>
    <t>TEA recommended sq. ft.</t>
  </si>
  <si>
    <t>+ / (-) TEA recommended</t>
  </si>
  <si>
    <t>Meets TEA recommended</t>
  </si>
  <si>
    <t>Stacks sq. ft.</t>
  </si>
  <si>
    <t>Office sq. ft.</t>
  </si>
  <si>
    <t>Work Room sq. ft.</t>
  </si>
  <si>
    <t>Media Room sq. ft.</t>
  </si>
  <si>
    <t>Storage sq. ft.</t>
  </si>
  <si>
    <t>Age appropriate space</t>
  </si>
  <si>
    <t>Furniture condition</t>
  </si>
  <si>
    <t>Shelving condition</t>
  </si>
  <si>
    <t>Cafeteria &amp; kitchen</t>
  </si>
  <si>
    <t>Cafeteria - Seating Area</t>
  </si>
  <si>
    <t>Serving Area</t>
  </si>
  <si>
    <t>Square Feet - Actual</t>
  </si>
  <si>
    <t>Square Feet - Recommended *</t>
  </si>
  <si>
    <t>Square Feet      + / (-) Recommended</t>
  </si>
  <si>
    <t>Seating Capacity</t>
  </si>
  <si>
    <t>Square Feet - Recommended **</t>
  </si>
  <si>
    <t>Square Feet        + / (-) Recommended</t>
  </si>
  <si>
    <t># of Serving Lines</t>
  </si>
  <si>
    <t xml:space="preserve">                                                  </t>
  </si>
  <si>
    <t xml:space="preserve">* 10 square feet per seat  </t>
  </si>
  <si>
    <t xml:space="preserve">  ** ½ a square feet per seat</t>
  </si>
  <si>
    <t>Kitchen</t>
  </si>
  <si>
    <t>Lunch Periods</t>
  </si>
  <si>
    <t>Square Feet - Recommended ***</t>
  </si>
  <si>
    <t>Total SF Cold &amp; Dry Storage</t>
  </si>
  <si>
    <t>Projected Average Daily Meals Served by Functional Capacity</t>
  </si>
  <si>
    <t># of Lunch Periods</t>
  </si>
  <si>
    <t>Begins at:</t>
  </si>
  <si>
    <t>Ends at:</t>
  </si>
  <si>
    <t>survey</t>
  </si>
  <si>
    <t>Need to see survey for information.</t>
  </si>
  <si>
    <t>*** 3 ½ square feet per meal served</t>
  </si>
  <si>
    <t>Reported Meals Served</t>
  </si>
  <si>
    <t>Survey</t>
  </si>
  <si>
    <t>Dry Storage</t>
  </si>
  <si>
    <t>Food storage</t>
  </si>
  <si>
    <t>Cold storage, Ref</t>
  </si>
  <si>
    <t>Cold storage, Fez</t>
  </si>
  <si>
    <t>Restrooms, Students</t>
  </si>
  <si>
    <t>Building/Location</t>
  </si>
  <si>
    <t>Boys Commodes</t>
  </si>
  <si>
    <t>Urinals</t>
  </si>
  <si>
    <t>Girls Commodes</t>
  </si>
  <si>
    <t>Unisex Commodes</t>
  </si>
  <si>
    <t>Sinks</t>
  </si>
  <si>
    <t>ADA Compliance Level</t>
  </si>
  <si>
    <t>Condition of Plumbing Fixtures</t>
  </si>
  <si>
    <t>Condition of Stall Panels &amp; Hardware</t>
  </si>
  <si>
    <t>Ventilation</t>
  </si>
  <si>
    <t>At least one boys and girls restroom per building on an accessible route must be ADA.</t>
  </si>
  <si>
    <t>Boys commodes: 1 for every 50 male students (use 50% of functional capacity student total)</t>
  </si>
  <si>
    <t>Boys urinals: 1 for every 100 male students (use 50% of functional capacity student total)</t>
  </si>
  <si>
    <t>Girls commodes: 1 for every 30 female students (use 50% of functional capacity)</t>
  </si>
  <si>
    <t>Sinks: 1 for every 40 students</t>
  </si>
  <si>
    <t>Totals</t>
  </si>
  <si>
    <t>+ / (-) Recommended</t>
  </si>
  <si>
    <t>Restrooms, Staff</t>
  </si>
  <si>
    <t>Campus/Location</t>
  </si>
  <si>
    <t>Men's Commodes</t>
  </si>
  <si>
    <t>Women's Commodes</t>
  </si>
  <si>
    <t>Drinking fountains</t>
  </si>
  <si>
    <t>Location</t>
  </si>
  <si>
    <t>Total of All Fountains on Site</t>
  </si>
  <si>
    <t># of Low Fountains, =&lt;36"</t>
  </si>
  <si>
    <t>1 drinking fountain for every 150 students</t>
  </si>
  <si>
    <t xml:space="preserve"> </t>
  </si>
  <si>
    <t>+ / (-) Recommended *</t>
  </si>
  <si>
    <t>Teachers' lounge/workroom</t>
  </si>
  <si>
    <t>Function</t>
  </si>
  <si>
    <t>Total</t>
  </si>
  <si>
    <t>Total recommended</t>
  </si>
  <si>
    <t>Difference +/(-)</t>
  </si>
  <si>
    <t>Parking -- Elem/Interim/MS/JrHS</t>
  </si>
  <si>
    <t>Regular Spaces</t>
  </si>
  <si>
    <t>Van Accessible</t>
  </si>
  <si>
    <t>Surface Type</t>
  </si>
  <si>
    <t>Surface Condition</t>
  </si>
  <si>
    <t>Striping Condition</t>
  </si>
  <si>
    <t xml:space="preserve">            Notes:</t>
  </si>
  <si>
    <t>Req'd ADA</t>
  </si>
  <si>
    <t>Van Req'd</t>
  </si>
  <si>
    <t>Rounded</t>
  </si>
  <si>
    <t>visitor parking 5% of students</t>
  </si>
  <si>
    <t>Total recommended/req'd</t>
  </si>
  <si>
    <t>Parking -- High School</t>
  </si>
  <si>
    <t>vis./stud. parking 25% of students</t>
  </si>
  <si>
    <t>HVAC TABLE</t>
  </si>
  <si>
    <t>District:</t>
  </si>
  <si>
    <t>Sq. Ftg.</t>
  </si>
  <si>
    <t>Const. Year</t>
  </si>
  <si>
    <t>Sq. Ft./Ton</t>
  </si>
  <si>
    <t>Campus:</t>
  </si>
  <si>
    <t>Total Tonnage</t>
  </si>
  <si>
    <t>Current Year</t>
  </si>
  <si>
    <t>Immediate Need Cost</t>
  </si>
  <si>
    <t>Total Cost</t>
  </si>
  <si>
    <t>Cooling Systems:</t>
  </si>
  <si>
    <t>Water Cooled Chiller</t>
  </si>
  <si>
    <t>Air Cooled Chiller</t>
  </si>
  <si>
    <t>Water Source Heat Pumps</t>
  </si>
  <si>
    <t>Packaged Unit</t>
  </si>
  <si>
    <t>Split System</t>
  </si>
  <si>
    <t>Window</t>
  </si>
  <si>
    <t>DOAU</t>
  </si>
  <si>
    <t>Estimate:</t>
  </si>
  <si>
    <t>No need to delete unused rows.</t>
  </si>
  <si>
    <t>Building</t>
  </si>
  <si>
    <t>Location of Unit</t>
  </si>
  <si>
    <t>Manufacturer</t>
  </si>
  <si>
    <t>Model Number</t>
  </si>
  <si>
    <t>Serial Number</t>
  </si>
  <si>
    <t>District ID</t>
  </si>
  <si>
    <t>Tonnage</t>
  </si>
  <si>
    <t>CFM/MBH</t>
  </si>
  <si>
    <t>Replacement Cost</t>
  </si>
  <si>
    <r>
      <t xml:space="preserve">If there is no HVAC present, write "No HVAC system at this site." in cell </t>
    </r>
    <r>
      <rPr>
        <b/>
        <sz val="11"/>
        <color rgb="FFFF0000"/>
        <rFont val="Calibri"/>
        <family val="2"/>
        <scheme val="minor"/>
      </rPr>
      <t>B12</t>
    </r>
    <r>
      <rPr>
        <sz val="11"/>
        <color rgb="FFFF0000"/>
        <rFont val="Calibri"/>
        <family val="2"/>
        <scheme val="minor"/>
      </rPr>
      <t xml:space="preserve">.  Then enter "0" in cells </t>
    </r>
    <r>
      <rPr>
        <b/>
        <sz val="11"/>
        <color rgb="FFFF0000"/>
        <rFont val="Calibri"/>
        <family val="2"/>
        <scheme val="minor"/>
      </rPr>
      <t>N12</t>
    </r>
    <r>
      <rPr>
        <sz val="11"/>
        <color rgb="FFFF0000"/>
        <rFont val="Calibri"/>
        <family val="2"/>
        <scheme val="minor"/>
      </rPr>
      <t xml:space="preserve"> and </t>
    </r>
    <r>
      <rPr>
        <b/>
        <sz val="11"/>
        <color rgb="FFFF0000"/>
        <rFont val="Calibri"/>
        <family val="2"/>
        <scheme val="minor"/>
      </rPr>
      <t>N2</t>
    </r>
    <r>
      <rPr>
        <sz val="11"/>
        <color rgb="FFFF0000"/>
        <rFont val="Calibri"/>
        <family val="2"/>
        <scheme val="minor"/>
      </rPr>
      <t>.</t>
    </r>
  </si>
  <si>
    <t>If you do not have a replacement cost for a unit, zero out the cost in column N.</t>
  </si>
  <si>
    <t xml:space="preserve">Location of Unit </t>
  </si>
  <si>
    <t>Ground</t>
  </si>
  <si>
    <t>Attic</t>
  </si>
  <si>
    <t>Closet</t>
  </si>
  <si>
    <t>Mezzanine</t>
  </si>
  <si>
    <t>Mechanical Closet</t>
  </si>
  <si>
    <t>AHU</t>
  </si>
  <si>
    <t>Water Heater</t>
  </si>
  <si>
    <t>ROOF ASSESSMENT</t>
  </si>
  <si>
    <t>DISTRICT:</t>
  </si>
  <si>
    <t>CAMPUS:</t>
  </si>
  <si>
    <t>BUILDING:</t>
  </si>
  <si>
    <t>Area 1</t>
  </si>
  <si>
    <t>Area 2</t>
  </si>
  <si>
    <t>Area 3</t>
  </si>
  <si>
    <t>Area 4</t>
  </si>
  <si>
    <t>Area 5</t>
  </si>
  <si>
    <t>Area 6</t>
  </si>
  <si>
    <t>Area 7</t>
  </si>
  <si>
    <t xml:space="preserve">Area ID </t>
  </si>
  <si>
    <t>Approx. Sq. Ft.</t>
  </si>
  <si>
    <t>Type of Roof</t>
  </si>
  <si>
    <t>Reported Age</t>
  </si>
  <si>
    <t>Slope</t>
  </si>
  <si>
    <t>Condition Detail</t>
  </si>
  <si>
    <t>Run a spell check after completing sheet.</t>
  </si>
  <si>
    <t>Visible Damage</t>
  </si>
  <si>
    <t>Debris &amp; Dirt</t>
  </si>
  <si>
    <t>Fading or Chalking</t>
  </si>
  <si>
    <t>Surface Degradation</t>
  </si>
  <si>
    <t>Expansion Joints</t>
  </si>
  <si>
    <t>Edges / Lap Joints</t>
  </si>
  <si>
    <t>Flashings</t>
  </si>
  <si>
    <t>Firmness, Bubbles, Fasteners</t>
  </si>
  <si>
    <t>Ponding</t>
  </si>
  <si>
    <t>Trees Over / On Roof</t>
  </si>
  <si>
    <t>HVAC /Pipe Supports</t>
  </si>
  <si>
    <t>Number of Penetrations</t>
  </si>
  <si>
    <t>Approx SF of Penetrations</t>
  </si>
  <si>
    <t>Feature Detail Condition</t>
  </si>
  <si>
    <t>Roof Drain Pipe Condition</t>
  </si>
  <si>
    <t>Debris @ RD / Scupper / Overflow</t>
  </si>
  <si>
    <t>Debris in Gutters</t>
  </si>
  <si>
    <t>Gutters Condition</t>
  </si>
  <si>
    <t>Downspout Condition</t>
  </si>
  <si>
    <t>Soffit</t>
  </si>
  <si>
    <t>Fascia</t>
  </si>
  <si>
    <t>Parapet</t>
  </si>
  <si>
    <t>Skylights/Hatches</t>
  </si>
  <si>
    <t>Interior/Supporting Surfaces</t>
  </si>
  <si>
    <t>Indication of Leaks</t>
  </si>
  <si>
    <t>Ceiling Condition</t>
  </si>
  <si>
    <t>Perimeter Wall Condition</t>
  </si>
  <si>
    <t>Rafters/Trusses/Deck Condition</t>
  </si>
  <si>
    <t>Assessment Results</t>
  </si>
  <si>
    <t>Overall Condition Grade</t>
  </si>
  <si>
    <t xml:space="preserve">Remaining Life </t>
  </si>
  <si>
    <t>Immediate Action Required</t>
  </si>
  <si>
    <t>Replacement Cost Factor</t>
  </si>
  <si>
    <t xml:space="preserve">TOTAL REPLACEMENT COST </t>
  </si>
  <si>
    <t>Assessor</t>
  </si>
  <si>
    <t>Assessment Date</t>
  </si>
  <si>
    <t>Be as descriptive as possible in the Assessment Summary below.  
Elaborate and make recommendations on categories rated Poor/Major.  
Include supporting details if Immediate Action is required.  
If the roof is in GOOD condition, state that in the summary.  (Do not leave summary blank)</t>
  </si>
  <si>
    <t>Roof Assessment Summary</t>
  </si>
  <si>
    <t>Drop Down Menu Values</t>
  </si>
  <si>
    <t>Overall Condition</t>
  </si>
  <si>
    <t>Immediate Action</t>
  </si>
  <si>
    <t>Condition Ratings</t>
  </si>
  <si>
    <t>Good</t>
  </si>
  <si>
    <t>No</t>
  </si>
  <si>
    <t>Standing Seam Metal</t>
  </si>
  <si>
    <t>Flat</t>
  </si>
  <si>
    <t>Fair</t>
  </si>
  <si>
    <t>Yes</t>
  </si>
  <si>
    <t>Low</t>
  </si>
  <si>
    <t>Poor</t>
  </si>
  <si>
    <t>BUR Gravel</t>
  </si>
  <si>
    <t>Medium</t>
  </si>
  <si>
    <t>Inaccessible</t>
  </si>
  <si>
    <t>Mod Bit</t>
  </si>
  <si>
    <t>High</t>
  </si>
  <si>
    <t>Foam</t>
  </si>
  <si>
    <t>No Issues</t>
  </si>
  <si>
    <t>Tin</t>
  </si>
  <si>
    <t>A.    RENOVATIONS</t>
  </si>
  <si>
    <t>Renovation Number</t>
  </si>
  <si>
    <t>Date</t>
  </si>
  <si>
    <t>Construction Type</t>
  </si>
  <si>
    <t>Usage</t>
  </si>
  <si>
    <t>B.    ADDITIONS</t>
  </si>
  <si>
    <t>Addition Number</t>
  </si>
  <si>
    <t>C.    PORTABLE CLASSROOMS</t>
  </si>
  <si>
    <t>YES</t>
  </si>
  <si>
    <t>NO</t>
  </si>
  <si>
    <t>COMMENTS</t>
  </si>
  <si>
    <t>School grounds are fenced.</t>
  </si>
  <si>
    <t>There is one clearly marked and designated entrance for visitors</t>
  </si>
  <si>
    <t>Signs are posted for visitors to report to main office through a designated entrance.</t>
  </si>
  <si>
    <t>Restricted areas are clearly marked</t>
  </si>
  <si>
    <t>Shrubs and foliage are trimmed to allow for good line of sight. (3'-0"/8'- 0" rule)</t>
  </si>
  <si>
    <t>Shrubs near building have been trimmed "up" to allow view of bottom of building</t>
  </si>
  <si>
    <t>Bus loading and drop-off zones are clearly defined.</t>
  </si>
  <si>
    <t>There is a schedule for maintenance of:</t>
  </si>
  <si>
    <t>a.   Outside lights</t>
  </si>
  <si>
    <t>b.   Locks/Hardware</t>
  </si>
  <si>
    <t>c.   Storage Sheds</t>
  </si>
  <si>
    <t>d.   Windows</t>
  </si>
  <si>
    <t>e.   Other exterior buildings</t>
  </si>
  <si>
    <t>Parent drop-off and pick-up area is clearly defined.</t>
  </si>
  <si>
    <t>There is adequate lighting around the building.</t>
  </si>
  <si>
    <t>Lighting is provided at entrances and other points of possible intrusion.</t>
  </si>
  <si>
    <t>The school ground is free from trash or debris.</t>
  </si>
  <si>
    <t>The school is free of graffiti.</t>
  </si>
  <si>
    <t>Play areas are fenced.</t>
  </si>
  <si>
    <t>Playground equipment has tamper-proof fasteners</t>
  </si>
  <si>
    <t>Visual surveillance of bicycle racks from main office is possible.</t>
  </si>
  <si>
    <t>Visual surveillance of parking lots from main office is possible</t>
  </si>
  <si>
    <t>Parking lot is lighted properly and all lights are functioning</t>
  </si>
  <si>
    <t>Accessible lenses are protected by some unbreakable material</t>
  </si>
  <si>
    <t>Staff and visitor parking has been designated</t>
  </si>
  <si>
    <t>Outside hardware has been removed from all doors except at points of entry.</t>
  </si>
  <si>
    <t>a.   have no broken panes;</t>
  </si>
  <si>
    <t>b.   locking hardware is in working order.</t>
  </si>
  <si>
    <t>Basement windows are protected with grill or well cover.</t>
  </si>
  <si>
    <t>Doors are locked when classrooms are vacant.</t>
  </si>
  <si>
    <t>High-risk areas are protected by high security locks and an alarm system</t>
  </si>
  <si>
    <t>a.   Main office</t>
  </si>
  <si>
    <t>b.   Cafeteria</t>
  </si>
  <si>
    <t>c.   Computer Labs</t>
  </si>
  <si>
    <t>d.   Industrial Arts rooms</t>
  </si>
  <si>
    <t>f.    Nurses Office</t>
  </si>
  <si>
    <t>g.   Boiler Room</t>
  </si>
  <si>
    <t>h.   Electrical Rooms</t>
  </si>
  <si>
    <t>i.    Phone line access closet</t>
  </si>
  <si>
    <t>Unused areas of the school can be closed off during after school activities.</t>
  </si>
  <si>
    <t>There is two-way communication between the main office and:</t>
  </si>
  <si>
    <t>a.   Classroom</t>
  </si>
  <si>
    <t>b.   Duty stations</t>
  </si>
  <si>
    <t>c.   Re-locatable classrooms</t>
  </si>
  <si>
    <t>d.   Staff and faculty outside building</t>
  </si>
  <si>
    <t>e.   Buses</t>
  </si>
  <si>
    <t>There is a central alarm system in the school. If yes, briefly describe:</t>
  </si>
  <si>
    <t>The main entrance is visible from the main office.</t>
  </si>
  <si>
    <t>There is at least 1 route from site arrival points that does not require the use of stairs.</t>
  </si>
  <si>
    <t>If parking is provided for the public, there are adequate number of accessible spaces provide (1 per 25).</t>
  </si>
  <si>
    <t>There is at least 1 van accessible parking space among the accessible spaces.</t>
  </si>
  <si>
    <t>The slope of the accessible parking spaces and access aisles is no steeper than 1:48 in all directions.</t>
  </si>
  <si>
    <t>The access aisles adjoin an accessible route.</t>
  </si>
  <si>
    <t>Accessible spaces are identified with a sign that includes the International Symbol of Accessibility.</t>
  </si>
  <si>
    <t>There are signs reading "van accessible" at van accessible spaces.</t>
  </si>
  <si>
    <t>If the accessible route crosses a curb, there is a curb ramp.</t>
  </si>
  <si>
    <t>Ramps are sloped no greater than 1:12.</t>
  </si>
  <si>
    <t>The main entrance is accessible.</t>
  </si>
  <si>
    <t>If the main entrance is not accessible, there is an alternative accessible entrance.</t>
  </si>
  <si>
    <t>The alternative accessible entrance can be used independently and during the same hours as the main entrance.</t>
  </si>
  <si>
    <t>All inaccessible entrances have signs with the International Symbol of Accessibility indicating the location of the nearest accessible entrance.</t>
  </si>
  <si>
    <t>The door is equipped with hardware, including locks, that is operable with one hand and does not require tight grasping, pinching, or twisting of the wrist.</t>
  </si>
  <si>
    <t>The operable parts of the door hardware are no less than 34" and no greater than 48" above the floor or ground surface.</t>
  </si>
  <si>
    <t>In locker rooms, there is at least one room with a bench.</t>
  </si>
  <si>
    <t>At least one toilet room is accessible (either one for each sex or one unisex).</t>
  </si>
  <si>
    <t>There are signs with the International Symbol of Accessibility at inaccessible toilet rooms that give directions to accessible toilet rooms.</t>
  </si>
  <si>
    <t>There is a route to the accessible toilet room(s) that does not include stairs.</t>
  </si>
  <si>
    <t>The door is equipped with hardware that is operable with one hand and does not require tight grasping, pinching, or twisting of the wrist.</t>
  </si>
  <si>
    <t>The door can be opened easily (5 lbs. maximum force).</t>
  </si>
  <si>
    <t>Lighting controls are operable with one hand and without tight grasping, pinching, or twisting of the wrist.</t>
  </si>
  <si>
    <t>Mounted switches are no less than 34" and no greater than 48" above the floor or ground surface.</t>
  </si>
  <si>
    <t>1. Connectivity “speed “ to the Facility:</t>
  </si>
  <si>
    <t>a. 10 Gbps or  greater</t>
  </si>
  <si>
    <t>b. 1 Gbps or greater</t>
  </si>
  <si>
    <t>c. 100 Mbps or less</t>
  </si>
  <si>
    <t>d. 10 Mbps or less</t>
  </si>
  <si>
    <t>e. Less than 10 Mbps</t>
  </si>
  <si>
    <t>2. Local area network  connectivity “speed “  at the individual building level:</t>
  </si>
  <si>
    <t>3. Wireless Coverage:</t>
  </si>
  <si>
    <t>a. Facility Wide</t>
  </si>
  <si>
    <t>b. Secure?</t>
  </si>
  <si>
    <t>c. Type:</t>
  </si>
  <si>
    <t xml:space="preserve"> i. AC</t>
  </si>
  <si>
    <t xml:space="preserve"> ii. N</t>
  </si>
  <si>
    <t xml:space="preserve"> iii. A/B/G</t>
  </si>
  <si>
    <t>4. Building cabling:</t>
  </si>
  <si>
    <t>a. Fiber (to the desktop)</t>
  </si>
  <si>
    <t>b. CAT 6</t>
  </si>
  <si>
    <t>c. CAT 5 E</t>
  </si>
  <si>
    <t xml:space="preserve">d. CAT 5 </t>
  </si>
  <si>
    <t>5. Security:</t>
  </si>
  <si>
    <t>a. Access control</t>
  </si>
  <si>
    <t>c. Central Communications Systems</t>
  </si>
  <si>
    <t>Lead</t>
  </si>
  <si>
    <t>Has your facility been assessed for lead? If so when?</t>
  </si>
  <si>
    <t>Is there lead in your facility?</t>
  </si>
  <si>
    <t>Is lead abatement included in your future bond plans?</t>
  </si>
  <si>
    <t>Asbestos</t>
  </si>
  <si>
    <t>Has your facility been assessed for asbestos? If so when?</t>
  </si>
  <si>
    <t>Is there asbestos in your facility?</t>
  </si>
  <si>
    <t>Is asbestos abatement included in your future bond plans?</t>
  </si>
  <si>
    <t>Mold</t>
  </si>
  <si>
    <t>Has your facility been assessed for mold? If so when?</t>
  </si>
  <si>
    <t>Is there mold in your facility?</t>
  </si>
  <si>
    <t>Is mold abatement included in your future bond plans?</t>
  </si>
  <si>
    <t>Water Quality</t>
  </si>
  <si>
    <t>Has your facility been assessed for water quality (lead, etc)? If so when?</t>
  </si>
  <si>
    <t>Is there a water quality concern in your facility?</t>
  </si>
  <si>
    <t>Is water treatment included in your future bond plans?</t>
  </si>
  <si>
    <t>PCBs</t>
  </si>
  <si>
    <t>Has your facility been assessed for PCBs? If so when?</t>
  </si>
  <si>
    <t>Are there PCBs in your facility?</t>
  </si>
  <si>
    <t>Is PCB abatement included in your future bond plans?</t>
  </si>
  <si>
    <t>Radon</t>
  </si>
  <si>
    <t>Has your facility been assessed for Radon? If so when?</t>
  </si>
  <si>
    <t>Is there Radon in your facility?</t>
  </si>
  <si>
    <t>Is Radon management included in your future bond plans?</t>
  </si>
  <si>
    <t>Is someone designated to develop and implement an indoor air quality management plan for your school district?</t>
  </si>
  <si>
    <t>Does your district have an indoor air quality management plan that includes steps for preventing and resolving indoor air quality problems?</t>
  </si>
  <si>
    <t>Are school buildings inspected once or twice each year for conditions that may lead to indoor air quality problems?</t>
  </si>
  <si>
    <t>Is a preventive maintenance schedule established and in operation for the heating, ventilation, and air conditioning (HVAC) system? Is the schedule in accordance with the manufacturer's recommendations or accepted practice for the HVAC system?</t>
  </si>
  <si>
    <t>Does the HVAC preventive maintenance schedule include the following?: checking and/or changing air filters and belts, lubricating equipment parts, checking the motors, and confirming that all equipment is in operating order.</t>
  </si>
  <si>
    <t>Is the maintenance schedule updated to show all maintenance performed on the building systems?</t>
  </si>
  <si>
    <t>Does the maintenance schedule include the dates that the building systems maintenance was performed and the names of the persons or companies performing the work?</t>
  </si>
  <si>
    <t>Are maintenance schedules retained for at least three years?</t>
  </si>
  <si>
    <t>Are damaged or inoperable components of the HVAC system replaced or repaired as appropriate?</t>
  </si>
  <si>
    <t>Are reservoirs or parts of the HVAC system with standing water checked visually for microbial growth?</t>
  </si>
  <si>
    <t>Are water leaks that could promote growth of biologic agents promptly repaired?</t>
  </si>
  <si>
    <t>Are damp or wet materials that could promote growth of biologic agents promptly dried, replaced, removed, or cleaned?</t>
  </si>
  <si>
    <t>Are microbial contaminants removed from ductwork, humidifiers, other HVAC and building system components, and from building surfaces such as carpeting and ceiling tiles when found during regular or emergency maintenance activities or visual inspection?</t>
  </si>
  <si>
    <t>Is general or local exhaust ventilation used where housekeeping and maintenance activities could reasonably be expected to result in exposure to hazardous substances above applicable exposure limits?</t>
  </si>
  <si>
    <t>Does the HVAC system have CO2 monitoring capability (demand control ventilation)?</t>
  </si>
  <si>
    <t>Are humidity levels maintained between 30% to 60% relative humidity?</t>
  </si>
  <si>
    <t>When a contaminant is identified in the make-up air supply, is the source of the contaminant eliminated, or are the make-up inlets or exhaust air outlets relocated to avoid entry of the contaminant into the air system?</t>
  </si>
  <si>
    <t>If buildings do not have mechanical ventilation, are windows, doors, vents, stacks, and other portals used for natural ventilation operating properly?</t>
  </si>
  <si>
    <t>Helpful Information</t>
  </si>
  <si>
    <t>Before completing the template it is best to do an informal interview with the individual in charge of the facilities. This is especially helpful when completing the checklists i.e., ADA, Harmful Substances, etc.</t>
  </si>
  <si>
    <t>Please ensure that you are interviewing the correct person to complete the checklists. For example, you may need to talk to the Internet Service Provider to complete the IT checklist.</t>
  </si>
  <si>
    <t>It is recommended that you complete the assessment on-site. Enter percentages and levels of action on-site after the walkthrough and before leaving the facility.</t>
  </si>
  <si>
    <t>In order for the template to accurately calculate information please complete the "Base Information Sheet." Cells highlighted in yellow are required as the rest of the template will not calculated correctly without that information.</t>
  </si>
  <si>
    <t>In order for the template to function properly do not change information on the READ ONLY tabs (worksheets e.g., "Building Type Budget-READ ONLY")</t>
  </si>
  <si>
    <t>It is best to use the template in Microsoft Excel as mobile devices and other application platforms such as Apple will not show the comments. However, a "Physical Assessment Comments" tab is located in the template.</t>
  </si>
  <si>
    <t>Make sure you hover over the upper right hand corner of cells to view comments. 
They determine the level of action. Pay attention whether a comment says “and” or “or.”</t>
  </si>
  <si>
    <t>Use “x” to indicate a system is present.</t>
  </si>
  <si>
    <r>
      <t xml:space="preserve">When entering data in the Percentage of System column (column P), the data </t>
    </r>
    <r>
      <rPr>
        <b/>
        <sz val="11"/>
        <color theme="1"/>
        <rFont val="Calibri"/>
        <family val="2"/>
        <scheme val="minor"/>
      </rPr>
      <t>must be entered as a percentage of the system</t>
    </r>
    <r>
      <rPr>
        <sz val="11"/>
        <color theme="1"/>
        <rFont val="Calibri"/>
        <family val="2"/>
        <scheme val="minor"/>
      </rPr>
      <t>. For example, if resilient tile covers 50% of the building and 35% of it needs to be replaced, used 35 in the Percentage of System column. This is true even if the system is a number rather than percentage. For example there are 40 wood doors and 10 need to be replaced, then enter 25 in Percentage of System column (Column P).</t>
    </r>
  </si>
  <si>
    <t>If you have a system not found in the template then add it at the bottom of the "Physical Condition Assessment."</t>
  </si>
  <si>
    <t>If you know that costs have changed override the cost on the Physical Condition Assessment tab ONLY and note it.</t>
  </si>
  <si>
    <t>Please note that some units of measure differ from the gross square footage of the building. The new units of measure are provided as comments in the category description. This is to address some of the concerns with using gross square footage for units that aren't really based on square footage. Example: the percentage of exterior doors that are wood is the number of wood exterior doors divided by the total number of exterior doors. If a school has 10 exterior doors and 7 are wood, then 70% of the doors are wood and that is the percentage that goes into the % of Building column.</t>
  </si>
  <si>
    <r>
      <rPr>
        <b/>
        <sz val="11"/>
        <rFont val="Calibri"/>
        <family val="2"/>
        <scheme val="minor"/>
      </rPr>
      <t xml:space="preserve">On the HVAC sheet:  </t>
    </r>
    <r>
      <rPr>
        <sz val="11"/>
        <rFont val="Calibri"/>
        <family val="2"/>
        <scheme val="minor"/>
      </rPr>
      <t>If there are no HVAC units at the facility, write "No HVAC system at this facility." in cell B12.</t>
    </r>
  </si>
  <si>
    <r>
      <rPr>
        <b/>
        <sz val="11"/>
        <rFont val="Calibri"/>
        <family val="2"/>
        <scheme val="minor"/>
      </rPr>
      <t>On the HVAC sheet:</t>
    </r>
    <r>
      <rPr>
        <sz val="11"/>
        <rFont val="Calibri"/>
        <family val="2"/>
        <scheme val="minor"/>
      </rPr>
      <t xml:space="preserve">  Write "Unavailable" or "N/A" (as appropriate) in all cells that cannot be filled out.  If you do not know the "Type", you can leave this cell blank.</t>
    </r>
  </si>
  <si>
    <r>
      <t xml:space="preserve">Please run a spell check on the Physical Condition Assessment, Dashboard Integration Page, and Roof sheets before submitting the workbook for upload.  (Top toolbar </t>
    </r>
    <r>
      <rPr>
        <sz val="11"/>
        <rFont val="Wingdings"/>
        <charset val="2"/>
      </rPr>
      <t>à</t>
    </r>
    <r>
      <rPr>
        <sz val="11"/>
        <rFont val="Calibri"/>
        <family val="2"/>
        <scheme val="minor"/>
      </rPr>
      <t xml:space="preserve">Review </t>
    </r>
    <r>
      <rPr>
        <sz val="11"/>
        <rFont val="Wingdings"/>
        <charset val="2"/>
      </rPr>
      <t>à</t>
    </r>
    <r>
      <rPr>
        <sz val="11"/>
        <rFont val="Calibri"/>
        <family val="2"/>
        <scheme val="minor"/>
      </rPr>
      <t xml:space="preserve"> Select "abc Spelling" icon on top left of toolbar)</t>
    </r>
  </si>
  <si>
    <r>
      <t xml:space="preserve">Cell: </t>
    </r>
    <r>
      <rPr>
        <sz val="10"/>
        <color theme="1"/>
        <rFont val="Calibri"/>
        <family val="2"/>
        <scheme val="minor"/>
      </rPr>
      <t>C10</t>
    </r>
  </si>
  <si>
    <r>
      <t xml:space="preserve">Comment: </t>
    </r>
    <r>
      <rPr>
        <sz val="10"/>
        <color theme="1"/>
        <rFont val="Calibri"/>
        <family val="2"/>
        <scheme val="minor"/>
      </rPr>
      <t>Standard spread and strip / perimeter footings; Apply rates to bldg footprint area</t>
    </r>
  </si>
  <si>
    <r>
      <t xml:space="preserve">Cell: </t>
    </r>
    <r>
      <rPr>
        <sz val="10"/>
        <color theme="1"/>
        <rFont val="Calibri"/>
        <family val="2"/>
        <scheme val="minor"/>
      </rPr>
      <t>H10</t>
    </r>
  </si>
  <si>
    <r>
      <t xml:space="preserve">Comment: </t>
    </r>
    <r>
      <rPr>
        <sz val="10"/>
        <color theme="1"/>
        <rFont val="Calibri"/>
        <family val="2"/>
        <scheme val="minor"/>
      </rPr>
      <t>Minor cracking observed ‐ fill and seal the cracks to prevent water intrusion</t>
    </r>
  </si>
  <si>
    <r>
      <t xml:space="preserve">Cell: </t>
    </r>
    <r>
      <rPr>
        <sz val="10"/>
        <color theme="1"/>
        <rFont val="Calibri"/>
        <family val="2"/>
        <scheme val="minor"/>
      </rPr>
      <t>L10</t>
    </r>
  </si>
  <si>
    <r>
      <t xml:space="preserve">Comment: </t>
    </r>
    <r>
      <rPr>
        <sz val="10"/>
        <color theme="1"/>
        <rFont val="Calibri"/>
        <family val="2"/>
        <scheme val="minor"/>
      </rPr>
      <t>Settlement observed in surrounding conditions ‐ requiring stabilization of the foundation, sub‐grade adjustment, and re‐enforcement of the foundation</t>
    </r>
  </si>
  <si>
    <r>
      <t xml:space="preserve">Cell: </t>
    </r>
    <r>
      <rPr>
        <sz val="10"/>
        <color theme="1"/>
        <rFont val="Calibri"/>
        <family val="2"/>
        <scheme val="minor"/>
      </rPr>
      <t>C11</t>
    </r>
  </si>
  <si>
    <r>
      <t xml:space="preserve">Comment: </t>
    </r>
    <r>
      <rPr>
        <sz val="10"/>
        <color theme="1"/>
        <rFont val="Calibri"/>
        <family val="2"/>
        <scheme val="minor"/>
      </rPr>
      <t>Pilings or other extended foundation systems that overcome non‐standard soil conditions; Apply rates to bldg footprint area</t>
    </r>
  </si>
  <si>
    <r>
      <t xml:space="preserve">Cell: </t>
    </r>
    <r>
      <rPr>
        <sz val="10"/>
        <color theme="1"/>
        <rFont val="Calibri"/>
        <family val="2"/>
        <scheme val="minor"/>
      </rPr>
      <t>H11</t>
    </r>
  </si>
  <si>
    <r>
      <t xml:space="preserve">Cell: </t>
    </r>
    <r>
      <rPr>
        <sz val="10"/>
        <color theme="1"/>
        <rFont val="Calibri"/>
        <family val="2"/>
        <scheme val="minor"/>
      </rPr>
      <t>L11</t>
    </r>
  </si>
  <si>
    <r>
      <t xml:space="preserve">Cell: </t>
    </r>
    <r>
      <rPr>
        <sz val="10"/>
        <color theme="1"/>
        <rFont val="Calibri"/>
        <family val="2"/>
        <scheme val="minor"/>
      </rPr>
      <t>C12</t>
    </r>
  </si>
  <si>
    <r>
      <t xml:space="preserve">Comment: </t>
    </r>
    <r>
      <rPr>
        <sz val="10"/>
        <color theme="1"/>
        <rFont val="Calibri"/>
        <family val="2"/>
        <scheme val="minor"/>
      </rPr>
      <t>Standard ground‐set concrete slab. If slab is elevated (i.e. has a crawl space or basement), apply conditions to B1010 instead; Apply rates to bldg footprint area</t>
    </r>
  </si>
  <si>
    <r>
      <t xml:space="preserve">Cell: </t>
    </r>
    <r>
      <rPr>
        <sz val="10"/>
        <color theme="1"/>
        <rFont val="Calibri"/>
        <family val="2"/>
        <scheme val="minor"/>
      </rPr>
      <t>J12</t>
    </r>
  </si>
  <si>
    <r>
      <t xml:space="preserve">Comment: </t>
    </r>
    <r>
      <rPr>
        <sz val="10"/>
        <color theme="1"/>
        <rFont val="Calibri"/>
        <family val="2"/>
        <scheme val="minor"/>
      </rPr>
      <t>Separation cracks occurring requiring route and fill and patch</t>
    </r>
  </si>
  <si>
    <r>
      <t xml:space="preserve">Cell: </t>
    </r>
    <r>
      <rPr>
        <sz val="10"/>
        <color theme="1"/>
        <rFont val="Calibri"/>
        <family val="2"/>
        <scheme val="minor"/>
      </rPr>
      <t>L12</t>
    </r>
  </si>
  <si>
    <r>
      <t xml:space="preserve">Comment: </t>
    </r>
    <r>
      <rPr>
        <sz val="10"/>
        <color theme="1"/>
        <rFont val="Calibri"/>
        <family val="2"/>
        <scheme val="minor"/>
      </rPr>
      <t>Differential settlement occurring ‐ requires removal of section of slab, adjustment to sub‐grade, and new infill</t>
    </r>
  </si>
  <si>
    <r>
      <t xml:space="preserve">Cell: </t>
    </r>
    <r>
      <rPr>
        <sz val="10"/>
        <color theme="1"/>
        <rFont val="Calibri"/>
        <family val="2"/>
        <scheme val="minor"/>
      </rPr>
      <t>C15</t>
    </r>
  </si>
  <si>
    <r>
      <t xml:space="preserve">Comment: </t>
    </r>
    <r>
      <rPr>
        <sz val="10"/>
        <color theme="1"/>
        <rFont val="Calibri"/>
        <family val="2"/>
        <scheme val="minor"/>
      </rPr>
      <t>Assumed as concrete walls with water‐proofing on the exterior. Includes only the structural portion and not the wall finishes; Apply to wall surface area</t>
    </r>
  </si>
  <si>
    <r>
      <t xml:space="preserve">Cell: </t>
    </r>
    <r>
      <rPr>
        <sz val="10"/>
        <color theme="1"/>
        <rFont val="Calibri"/>
        <family val="2"/>
        <scheme val="minor"/>
      </rPr>
      <t>H15</t>
    </r>
  </si>
  <si>
    <r>
      <t xml:space="preserve">Comment: </t>
    </r>
    <r>
      <rPr>
        <sz val="10"/>
        <color theme="1"/>
        <rFont val="Calibri"/>
        <family val="2"/>
        <scheme val="minor"/>
      </rPr>
      <t>Inadequate below grade venting is observed ‐ cut in and add venting</t>
    </r>
  </si>
  <si>
    <r>
      <t xml:space="preserve">Cell: </t>
    </r>
    <r>
      <rPr>
        <sz val="10"/>
        <color theme="1"/>
        <rFont val="Calibri"/>
        <family val="2"/>
        <scheme val="minor"/>
      </rPr>
      <t>J15</t>
    </r>
  </si>
  <si>
    <r>
      <t xml:space="preserve">Comment: </t>
    </r>
    <r>
      <rPr>
        <sz val="10"/>
        <color theme="1"/>
        <rFont val="Calibri"/>
        <family val="2"/>
        <scheme val="minor"/>
      </rPr>
      <t>Wall is cracked and spalling requiring route and fill and patch and re‐finish</t>
    </r>
  </si>
  <si>
    <r>
      <t xml:space="preserve">Cell: </t>
    </r>
    <r>
      <rPr>
        <sz val="10"/>
        <color theme="1"/>
        <rFont val="Calibri"/>
        <family val="2"/>
        <scheme val="minor"/>
      </rPr>
      <t>L15</t>
    </r>
  </si>
  <si>
    <r>
      <t xml:space="preserve">Comment: </t>
    </r>
    <r>
      <rPr>
        <sz val="10"/>
        <color theme="1"/>
        <rFont val="Calibri"/>
        <family val="2"/>
        <scheme val="minor"/>
      </rPr>
      <t>Wall is cracked with evidence of water intrusion. Repairs to be implemented and water barrier to be applied to be applied</t>
    </r>
  </si>
  <si>
    <r>
      <t xml:space="preserve">Cell: </t>
    </r>
    <r>
      <rPr>
        <sz val="10"/>
        <color theme="1"/>
        <rFont val="Calibri"/>
        <family val="2"/>
        <scheme val="minor"/>
      </rPr>
      <t>C18</t>
    </r>
  </si>
  <si>
    <r>
      <t xml:space="preserve">Comment: </t>
    </r>
    <r>
      <rPr>
        <sz val="10"/>
        <color theme="1"/>
        <rFont val="Calibri"/>
        <family val="2"/>
        <scheme val="minor"/>
      </rPr>
      <t>A suspended floor including the structural members and floor construction, but not including the actual finish</t>
    </r>
  </si>
  <si>
    <r>
      <t xml:space="preserve">Cell: </t>
    </r>
    <r>
      <rPr>
        <sz val="10"/>
        <color theme="1"/>
        <rFont val="Calibri"/>
        <family val="2"/>
        <scheme val="minor"/>
      </rPr>
      <t>J18</t>
    </r>
  </si>
  <si>
    <r>
      <t xml:space="preserve">Comment: </t>
    </r>
    <r>
      <rPr>
        <sz val="10"/>
        <color theme="1"/>
        <rFont val="Calibri"/>
        <family val="2"/>
        <scheme val="minor"/>
      </rPr>
      <t>Deck lifting, settling, or uneven ‐ appears related to the deck itself and not the structural support below ‐ requires removal and replacement of deck</t>
    </r>
  </si>
  <si>
    <r>
      <t xml:space="preserve">Cell: </t>
    </r>
    <r>
      <rPr>
        <sz val="10"/>
        <color theme="1"/>
        <rFont val="Calibri"/>
        <family val="2"/>
        <scheme val="minor"/>
      </rPr>
      <t>N18</t>
    </r>
  </si>
  <si>
    <r>
      <t xml:space="preserve">Comment: </t>
    </r>
    <r>
      <rPr>
        <sz val="10"/>
        <color theme="1"/>
        <rFont val="Calibri"/>
        <family val="2"/>
        <scheme val="minor"/>
      </rPr>
      <t>Visible evidence of a sagging or settled structure or depression in the floor line, requiring removal and replacement</t>
    </r>
  </si>
  <si>
    <r>
      <t xml:space="preserve">Cell: </t>
    </r>
    <r>
      <rPr>
        <sz val="10"/>
        <color theme="1"/>
        <rFont val="Calibri"/>
        <family val="2"/>
        <scheme val="minor"/>
      </rPr>
      <t>J19</t>
    </r>
  </si>
  <si>
    <r>
      <t xml:space="preserve">Cell: </t>
    </r>
    <r>
      <rPr>
        <sz val="10"/>
        <color theme="1"/>
        <rFont val="Calibri"/>
        <family val="2"/>
        <scheme val="minor"/>
      </rPr>
      <t>N19</t>
    </r>
  </si>
  <si>
    <r>
      <t xml:space="preserve">Cell: </t>
    </r>
    <r>
      <rPr>
        <sz val="10"/>
        <color theme="1"/>
        <rFont val="Calibri"/>
        <family val="2"/>
        <scheme val="minor"/>
      </rPr>
      <t>J20</t>
    </r>
  </si>
  <si>
    <r>
      <t xml:space="preserve">Cell: </t>
    </r>
    <r>
      <rPr>
        <sz val="10"/>
        <color theme="1"/>
        <rFont val="Calibri"/>
        <family val="2"/>
        <scheme val="minor"/>
      </rPr>
      <t>N20</t>
    </r>
  </si>
  <si>
    <r>
      <t xml:space="preserve">Cell: </t>
    </r>
    <r>
      <rPr>
        <sz val="10"/>
        <color theme="1"/>
        <rFont val="Calibri"/>
        <family val="2"/>
        <scheme val="minor"/>
      </rPr>
      <t>C21</t>
    </r>
  </si>
  <si>
    <r>
      <t xml:space="preserve">Comment: </t>
    </r>
    <r>
      <rPr>
        <sz val="10"/>
        <color theme="1"/>
        <rFont val="Calibri"/>
        <family val="2"/>
        <scheme val="minor"/>
      </rPr>
      <t>The roof structure referring to the supporting structure and the deck but excluding the roofing itself</t>
    </r>
  </si>
  <si>
    <r>
      <t xml:space="preserve">Cell: </t>
    </r>
    <r>
      <rPr>
        <sz val="10"/>
        <color theme="1"/>
        <rFont val="Calibri"/>
        <family val="2"/>
        <scheme val="minor"/>
      </rPr>
      <t>L21</t>
    </r>
  </si>
  <si>
    <r>
      <t xml:space="preserve">Comment: </t>
    </r>
    <r>
      <rPr>
        <sz val="10"/>
        <color theme="1"/>
        <rFont val="Calibri"/>
        <family val="2"/>
        <scheme val="minor"/>
      </rPr>
      <t>Evidence of a spongy decking from water intrusion ‐ replacing the deck but not the trusses</t>
    </r>
  </si>
  <si>
    <r>
      <t xml:space="preserve">Cell: </t>
    </r>
    <r>
      <rPr>
        <sz val="10"/>
        <color theme="1"/>
        <rFont val="Calibri"/>
        <family val="2"/>
        <scheme val="minor"/>
      </rPr>
      <t>N21</t>
    </r>
  </si>
  <si>
    <r>
      <t xml:space="preserve">Comment: </t>
    </r>
    <r>
      <rPr>
        <sz val="10"/>
        <color theme="1"/>
        <rFont val="Calibri"/>
        <family val="2"/>
        <scheme val="minor"/>
      </rPr>
      <t>Visible evidence of a sagging structure or depression in the roof line, requiring removal and replacement</t>
    </r>
  </si>
  <si>
    <r>
      <t xml:space="preserve">Cell: </t>
    </r>
    <r>
      <rPr>
        <sz val="10"/>
        <color theme="1"/>
        <rFont val="Calibri"/>
        <family val="2"/>
        <scheme val="minor"/>
      </rPr>
      <t>L22</t>
    </r>
  </si>
  <si>
    <r>
      <t xml:space="preserve">Comment: </t>
    </r>
    <r>
      <rPr>
        <sz val="10"/>
        <color theme="1"/>
        <rFont val="Calibri"/>
        <family val="2"/>
        <scheme val="minor"/>
      </rPr>
      <t>Evidence of a flexing decking from water intrusion / rust ‐ replacing the deck but not the trusses</t>
    </r>
  </si>
  <si>
    <r>
      <t xml:space="preserve">Cell: </t>
    </r>
    <r>
      <rPr>
        <sz val="10"/>
        <color theme="1"/>
        <rFont val="Calibri"/>
        <family val="2"/>
        <scheme val="minor"/>
      </rPr>
      <t>N22</t>
    </r>
  </si>
  <si>
    <r>
      <t xml:space="preserve">Cell: </t>
    </r>
    <r>
      <rPr>
        <sz val="10"/>
        <color theme="1"/>
        <rFont val="Calibri"/>
        <family val="2"/>
        <scheme val="minor"/>
      </rPr>
      <t>L23</t>
    </r>
  </si>
  <si>
    <r>
      <t xml:space="preserve">Comment: </t>
    </r>
    <r>
      <rPr>
        <sz val="10"/>
        <color theme="1"/>
        <rFont val="Calibri"/>
        <family val="2"/>
        <scheme val="minor"/>
      </rPr>
      <t>Evidence of a spongy / spalling deck from water intrusion ‐ replacing the deck but not the beams</t>
    </r>
  </si>
  <si>
    <r>
      <t xml:space="preserve">Cell: </t>
    </r>
    <r>
      <rPr>
        <sz val="10"/>
        <color theme="1"/>
        <rFont val="Calibri"/>
        <family val="2"/>
        <scheme val="minor"/>
      </rPr>
      <t>N23</t>
    </r>
  </si>
  <si>
    <r>
      <t xml:space="preserve">Cell: </t>
    </r>
    <r>
      <rPr>
        <sz val="10"/>
        <color theme="1"/>
        <rFont val="Calibri"/>
        <family val="2"/>
        <scheme val="minor"/>
      </rPr>
      <t>D25</t>
    </r>
  </si>
  <si>
    <r>
      <t xml:space="preserve">Comment: </t>
    </r>
    <r>
      <rPr>
        <sz val="10"/>
        <color theme="1"/>
        <rFont val="Calibri"/>
        <family val="2"/>
        <scheme val="minor"/>
      </rPr>
      <t>Apply to wall surface area</t>
    </r>
  </si>
  <si>
    <r>
      <t xml:space="preserve">Cell: </t>
    </r>
    <r>
      <rPr>
        <sz val="10"/>
        <color theme="1"/>
        <rFont val="Calibri"/>
        <family val="2"/>
        <scheme val="minor"/>
      </rPr>
      <t>J25</t>
    </r>
  </si>
  <si>
    <r>
      <t xml:space="preserve">Comment: </t>
    </r>
    <r>
      <rPr>
        <sz val="10"/>
        <color theme="1"/>
        <rFont val="Calibri"/>
        <family val="2"/>
        <scheme val="minor"/>
      </rPr>
      <t>Surface is in tact but finish is deteriorated ‐ paint</t>
    </r>
  </si>
  <si>
    <r>
      <t xml:space="preserve">Cell: </t>
    </r>
    <r>
      <rPr>
        <sz val="10"/>
        <color theme="1"/>
        <rFont val="Calibri"/>
        <family val="2"/>
        <scheme val="minor"/>
      </rPr>
      <t>L25</t>
    </r>
  </si>
  <si>
    <r>
      <t xml:space="preserve">Comment: </t>
    </r>
    <r>
      <rPr>
        <sz val="10"/>
        <color theme="1"/>
        <rFont val="Calibri"/>
        <family val="2"/>
        <scheme val="minor"/>
      </rPr>
      <t>Cracks visible ‐ route and patch prior to painting</t>
    </r>
  </si>
  <si>
    <r>
      <t xml:space="preserve">Cell: </t>
    </r>
    <r>
      <rPr>
        <sz val="10"/>
        <color theme="1"/>
        <rFont val="Calibri"/>
        <family val="2"/>
        <scheme val="minor"/>
      </rPr>
      <t>D26</t>
    </r>
  </si>
  <si>
    <r>
      <t xml:space="preserve">Cell: </t>
    </r>
    <r>
      <rPr>
        <sz val="10"/>
        <color theme="1"/>
        <rFont val="Calibri"/>
        <family val="2"/>
        <scheme val="minor"/>
      </rPr>
      <t>J26</t>
    </r>
  </si>
  <si>
    <r>
      <t xml:space="preserve">Cell: </t>
    </r>
    <r>
      <rPr>
        <sz val="10"/>
        <color theme="1"/>
        <rFont val="Calibri"/>
        <family val="2"/>
        <scheme val="minor"/>
      </rPr>
      <t>L26</t>
    </r>
  </si>
  <si>
    <r>
      <t xml:space="preserve">Comment: </t>
    </r>
    <r>
      <rPr>
        <sz val="10"/>
        <color theme="1"/>
        <rFont val="Calibri"/>
        <family val="2"/>
        <scheme val="minor"/>
      </rPr>
      <t>Some blocks are damaged, needing patch and repair prior to sealing or painting</t>
    </r>
  </si>
  <si>
    <r>
      <t xml:space="preserve">Cell: </t>
    </r>
    <r>
      <rPr>
        <sz val="10"/>
        <color theme="1"/>
        <rFont val="Calibri"/>
        <family val="2"/>
        <scheme val="minor"/>
      </rPr>
      <t>N26</t>
    </r>
  </si>
  <si>
    <r>
      <t xml:space="preserve">Comment: </t>
    </r>
    <r>
      <rPr>
        <sz val="10"/>
        <color theme="1"/>
        <rFont val="Calibri"/>
        <family val="2"/>
        <scheme val="minor"/>
      </rPr>
      <t>There is evidence of settling, failure, or a compromised structure that requires removal and replacement</t>
    </r>
  </si>
  <si>
    <r>
      <t xml:space="preserve">Cell: </t>
    </r>
    <r>
      <rPr>
        <sz val="10"/>
        <color theme="1"/>
        <rFont val="Calibri"/>
        <family val="2"/>
        <scheme val="minor"/>
      </rPr>
      <t>D27</t>
    </r>
  </si>
  <si>
    <r>
      <t xml:space="preserve">Cell: </t>
    </r>
    <r>
      <rPr>
        <sz val="10"/>
        <color theme="1"/>
        <rFont val="Calibri"/>
        <family val="2"/>
        <scheme val="minor"/>
      </rPr>
      <t>J27</t>
    </r>
  </si>
  <si>
    <r>
      <t xml:space="preserve">Cell: </t>
    </r>
    <r>
      <rPr>
        <sz val="10"/>
        <color theme="1"/>
        <rFont val="Calibri"/>
        <family val="2"/>
        <scheme val="minor"/>
      </rPr>
      <t>L27</t>
    </r>
  </si>
  <si>
    <r>
      <t xml:space="preserve">Comment: </t>
    </r>
    <r>
      <rPr>
        <sz val="10"/>
        <color theme="1"/>
        <rFont val="Calibri"/>
        <family val="2"/>
        <scheme val="minor"/>
      </rPr>
      <t>A number of panels are damaged, requiring patch and repair prior to re‐painting</t>
    </r>
  </si>
  <si>
    <r>
      <t xml:space="preserve">Cell: </t>
    </r>
    <r>
      <rPr>
        <sz val="10"/>
        <color theme="1"/>
        <rFont val="Calibri"/>
        <family val="2"/>
        <scheme val="minor"/>
      </rPr>
      <t>N27</t>
    </r>
  </si>
  <si>
    <r>
      <t xml:space="preserve">Comment: </t>
    </r>
    <r>
      <rPr>
        <sz val="10"/>
        <color theme="1"/>
        <rFont val="Calibri"/>
        <family val="2"/>
        <scheme val="minor"/>
      </rPr>
      <t>The panels are lifting or separating or otherwise losing their integrity ‐ remove and replace</t>
    </r>
  </si>
  <si>
    <r>
      <t xml:space="preserve">Cell: </t>
    </r>
    <r>
      <rPr>
        <sz val="10"/>
        <color theme="1"/>
        <rFont val="Calibri"/>
        <family val="2"/>
        <scheme val="minor"/>
      </rPr>
      <t>D28</t>
    </r>
  </si>
  <si>
    <r>
      <t xml:space="preserve">Cell: </t>
    </r>
    <r>
      <rPr>
        <sz val="10"/>
        <color theme="1"/>
        <rFont val="Calibri"/>
        <family val="2"/>
        <scheme val="minor"/>
      </rPr>
      <t>J28</t>
    </r>
  </si>
  <si>
    <r>
      <t xml:space="preserve">Cell: </t>
    </r>
    <r>
      <rPr>
        <sz val="10"/>
        <color theme="1"/>
        <rFont val="Calibri"/>
        <family val="2"/>
        <scheme val="minor"/>
      </rPr>
      <t>L28</t>
    </r>
  </si>
  <si>
    <r>
      <t xml:space="preserve">Cell: </t>
    </r>
    <r>
      <rPr>
        <sz val="10"/>
        <color theme="1"/>
        <rFont val="Calibri"/>
        <family val="2"/>
        <scheme val="minor"/>
      </rPr>
      <t>N28</t>
    </r>
  </si>
  <si>
    <r>
      <t xml:space="preserve">Comment: </t>
    </r>
    <r>
      <rPr>
        <sz val="10"/>
        <color theme="1"/>
        <rFont val="Calibri"/>
        <family val="2"/>
        <scheme val="minor"/>
      </rPr>
      <t>System in failure with evidence of water intrusion ‐ remove and replace</t>
    </r>
  </si>
  <si>
    <r>
      <t xml:space="preserve">Cell: </t>
    </r>
    <r>
      <rPr>
        <sz val="10"/>
        <color theme="1"/>
        <rFont val="Calibri"/>
        <family val="2"/>
        <scheme val="minor"/>
      </rPr>
      <t>D29</t>
    </r>
  </si>
  <si>
    <r>
      <t xml:space="preserve">Cell: </t>
    </r>
    <r>
      <rPr>
        <sz val="10"/>
        <color theme="1"/>
        <rFont val="Calibri"/>
        <family val="2"/>
        <scheme val="minor"/>
      </rPr>
      <t>J29</t>
    </r>
  </si>
  <si>
    <r>
      <t xml:space="preserve">Comment: </t>
    </r>
    <r>
      <rPr>
        <sz val="10"/>
        <color theme="1"/>
        <rFont val="Calibri"/>
        <family val="2"/>
        <scheme val="minor"/>
      </rPr>
      <t>Minor repairs needed to mortar, prep, and re‐sealing</t>
    </r>
  </si>
  <si>
    <r>
      <t xml:space="preserve">Cell: </t>
    </r>
    <r>
      <rPr>
        <sz val="10"/>
        <color theme="1"/>
        <rFont val="Calibri"/>
        <family val="2"/>
        <scheme val="minor"/>
      </rPr>
      <t>L29</t>
    </r>
  </si>
  <si>
    <r>
      <t xml:space="preserve">Comment: </t>
    </r>
    <r>
      <rPr>
        <sz val="10"/>
        <color theme="1"/>
        <rFont val="Calibri"/>
        <family val="2"/>
        <scheme val="minor"/>
      </rPr>
      <t>Mortar missing in a majority of areas requiring complete re‐pointing and sealing</t>
    </r>
  </si>
  <si>
    <r>
      <t xml:space="preserve">Cell: </t>
    </r>
    <r>
      <rPr>
        <sz val="10"/>
        <color theme="1"/>
        <rFont val="Calibri"/>
        <family val="2"/>
        <scheme val="minor"/>
      </rPr>
      <t>N29</t>
    </r>
  </si>
  <si>
    <r>
      <t xml:space="preserve">Comment: </t>
    </r>
    <r>
      <rPr>
        <sz val="10"/>
        <color theme="1"/>
        <rFont val="Calibri"/>
        <family val="2"/>
        <scheme val="minor"/>
      </rPr>
      <t>Masonry visibly damaged and requiring removal and replacement</t>
    </r>
  </si>
  <si>
    <r>
      <t xml:space="preserve">Cell: </t>
    </r>
    <r>
      <rPr>
        <sz val="10"/>
        <color theme="1"/>
        <rFont val="Calibri"/>
        <family val="2"/>
        <scheme val="minor"/>
      </rPr>
      <t>D30</t>
    </r>
  </si>
  <si>
    <r>
      <t xml:space="preserve">Comment: </t>
    </r>
    <r>
      <rPr>
        <sz val="10"/>
        <color theme="1"/>
        <rFont val="Calibri"/>
        <family val="2"/>
        <scheme val="minor"/>
      </rPr>
      <t>Apply to glazed area</t>
    </r>
  </si>
  <si>
    <r>
      <t xml:space="preserve">Cell: </t>
    </r>
    <r>
      <rPr>
        <sz val="10"/>
        <color theme="1"/>
        <rFont val="Calibri"/>
        <family val="2"/>
        <scheme val="minor"/>
      </rPr>
      <t>J30</t>
    </r>
  </si>
  <si>
    <r>
      <t xml:space="preserve">Comment: </t>
    </r>
    <r>
      <rPr>
        <sz val="10"/>
        <color theme="1"/>
        <rFont val="Calibri"/>
        <family val="2"/>
        <scheme val="minor"/>
      </rPr>
      <t>The glazing is double pane but is broken or fogged and requires replacement</t>
    </r>
  </si>
  <si>
    <r>
      <t xml:space="preserve">Cell: </t>
    </r>
    <r>
      <rPr>
        <sz val="10"/>
        <color theme="1"/>
        <rFont val="Calibri"/>
        <family val="2"/>
        <scheme val="minor"/>
      </rPr>
      <t>L30</t>
    </r>
  </si>
  <si>
    <r>
      <t xml:space="preserve">Comment: </t>
    </r>
    <r>
      <rPr>
        <sz val="10"/>
        <color theme="1"/>
        <rFont val="Calibri"/>
        <family val="2"/>
        <scheme val="minor"/>
      </rPr>
      <t>The glazing is single pane or the sash is damaged ‐ either requires replacement of the sash and its glazing</t>
    </r>
  </si>
  <si>
    <r>
      <t xml:space="preserve">Cell: </t>
    </r>
    <r>
      <rPr>
        <sz val="10"/>
        <color theme="1"/>
        <rFont val="Calibri"/>
        <family val="2"/>
        <scheme val="minor"/>
      </rPr>
      <t>N30</t>
    </r>
  </si>
  <si>
    <r>
      <t xml:space="preserve">Comment: </t>
    </r>
    <r>
      <rPr>
        <sz val="10"/>
        <color theme="1"/>
        <rFont val="Calibri"/>
        <family val="2"/>
        <scheme val="minor"/>
      </rPr>
      <t>The structural integrity of the frame is damaged, requiring the full replacement of the window unit</t>
    </r>
  </si>
  <si>
    <r>
      <t xml:space="preserve">Cell: </t>
    </r>
    <r>
      <rPr>
        <sz val="10"/>
        <color theme="1"/>
        <rFont val="Calibri"/>
        <family val="2"/>
        <scheme val="minor"/>
      </rPr>
      <t>D31</t>
    </r>
  </si>
  <si>
    <r>
      <t xml:space="preserve">Comment: </t>
    </r>
    <r>
      <rPr>
        <sz val="10"/>
        <color theme="1"/>
        <rFont val="Calibri"/>
        <family val="2"/>
        <scheme val="minor"/>
      </rPr>
      <t>This assumes both individual aluminum windows and storefront systems; Apply to glazed area</t>
    </r>
  </si>
  <si>
    <r>
      <t xml:space="preserve">Cell: </t>
    </r>
    <r>
      <rPr>
        <sz val="10"/>
        <color theme="1"/>
        <rFont val="Calibri"/>
        <family val="2"/>
        <scheme val="minor"/>
      </rPr>
      <t>J31</t>
    </r>
  </si>
  <si>
    <r>
      <t xml:space="preserve">Cell: </t>
    </r>
    <r>
      <rPr>
        <sz val="10"/>
        <color theme="1"/>
        <rFont val="Calibri"/>
        <family val="2"/>
        <scheme val="minor"/>
      </rPr>
      <t>L31</t>
    </r>
  </si>
  <si>
    <r>
      <t xml:space="preserve">Cell: </t>
    </r>
    <r>
      <rPr>
        <sz val="10"/>
        <color theme="1"/>
        <rFont val="Calibri"/>
        <family val="2"/>
        <scheme val="minor"/>
      </rPr>
      <t>N31</t>
    </r>
  </si>
  <si>
    <r>
      <t xml:space="preserve">Cell: </t>
    </r>
    <r>
      <rPr>
        <sz val="10"/>
        <color theme="1"/>
        <rFont val="Calibri"/>
        <family val="2"/>
        <scheme val="minor"/>
      </rPr>
      <t>D32</t>
    </r>
  </si>
  <si>
    <r>
      <t xml:space="preserve">Comment: </t>
    </r>
    <r>
      <rPr>
        <sz val="10"/>
        <color theme="1"/>
        <rFont val="Calibri"/>
        <family val="2"/>
        <scheme val="minor"/>
      </rPr>
      <t>This assumes a metal windows system clad with wood or vinyl; Apply to glazed area</t>
    </r>
  </si>
  <si>
    <r>
      <t xml:space="preserve">Cell: </t>
    </r>
    <r>
      <rPr>
        <sz val="10"/>
        <color theme="1"/>
        <rFont val="Calibri"/>
        <family val="2"/>
        <scheme val="minor"/>
      </rPr>
      <t>J32</t>
    </r>
  </si>
  <si>
    <r>
      <t xml:space="preserve">Cell: </t>
    </r>
    <r>
      <rPr>
        <sz val="10"/>
        <color theme="1"/>
        <rFont val="Calibri"/>
        <family val="2"/>
        <scheme val="minor"/>
      </rPr>
      <t>L32</t>
    </r>
  </si>
  <si>
    <r>
      <t xml:space="preserve">Cell: </t>
    </r>
    <r>
      <rPr>
        <sz val="10"/>
        <color theme="1"/>
        <rFont val="Calibri"/>
        <family val="2"/>
        <scheme val="minor"/>
      </rPr>
      <t>N32</t>
    </r>
  </si>
  <si>
    <r>
      <t xml:space="preserve">Cell: </t>
    </r>
    <r>
      <rPr>
        <sz val="10"/>
        <color theme="1"/>
        <rFont val="Calibri"/>
        <family val="2"/>
        <scheme val="minor"/>
      </rPr>
      <t>D33</t>
    </r>
  </si>
  <si>
    <r>
      <t xml:space="preserve">Cell: </t>
    </r>
    <r>
      <rPr>
        <sz val="10"/>
        <color theme="1"/>
        <rFont val="Calibri"/>
        <family val="2"/>
        <scheme val="minor"/>
      </rPr>
      <t>J33</t>
    </r>
  </si>
  <si>
    <r>
      <t xml:space="preserve">Comment: </t>
    </r>
    <r>
      <rPr>
        <sz val="10"/>
        <color theme="1"/>
        <rFont val="Calibri"/>
        <family val="2"/>
        <scheme val="minor"/>
      </rPr>
      <t>Minor leaks at wall seams ‐ re‐caulk and re‐seal</t>
    </r>
  </si>
  <si>
    <r>
      <t xml:space="preserve">Cell: </t>
    </r>
    <r>
      <rPr>
        <sz val="10"/>
        <color theme="1"/>
        <rFont val="Calibri"/>
        <family val="2"/>
        <scheme val="minor"/>
      </rPr>
      <t>L33</t>
    </r>
  </si>
  <si>
    <r>
      <t xml:space="preserve">Comment: </t>
    </r>
    <r>
      <rPr>
        <sz val="10"/>
        <color theme="1"/>
        <rFont val="Calibri"/>
        <family val="2"/>
        <scheme val="minor"/>
      </rPr>
      <t>Window panels fogged and require replacement</t>
    </r>
  </si>
  <si>
    <r>
      <t xml:space="preserve">Cell: </t>
    </r>
    <r>
      <rPr>
        <sz val="10"/>
        <color theme="1"/>
        <rFont val="Calibri"/>
        <family val="2"/>
        <scheme val="minor"/>
      </rPr>
      <t>N33</t>
    </r>
  </si>
  <si>
    <r>
      <t xml:space="preserve">Comment: </t>
    </r>
    <r>
      <rPr>
        <sz val="10"/>
        <color theme="1"/>
        <rFont val="Calibri"/>
        <family val="2"/>
        <scheme val="minor"/>
      </rPr>
      <t>Settlement or displacement is evident</t>
    </r>
  </si>
  <si>
    <r>
      <t xml:space="preserve">Cell: </t>
    </r>
    <r>
      <rPr>
        <sz val="10"/>
        <color theme="1"/>
        <rFont val="Calibri"/>
        <family val="2"/>
        <scheme val="minor"/>
      </rPr>
      <t>D34</t>
    </r>
  </si>
  <si>
    <r>
      <t xml:space="preserve">Comment: </t>
    </r>
    <r>
      <rPr>
        <sz val="10"/>
        <color theme="1"/>
        <rFont val="Calibri"/>
        <family val="2"/>
        <scheme val="minor"/>
      </rPr>
      <t>Apply to door count</t>
    </r>
  </si>
  <si>
    <r>
      <t xml:space="preserve">Cell: </t>
    </r>
    <r>
      <rPr>
        <sz val="10"/>
        <color theme="1"/>
        <rFont val="Calibri"/>
        <family val="2"/>
        <scheme val="minor"/>
      </rPr>
      <t>J34</t>
    </r>
  </si>
  <si>
    <r>
      <t xml:space="preserve">Comment: </t>
    </r>
    <r>
      <rPr>
        <sz val="10"/>
        <color theme="1"/>
        <rFont val="Calibri"/>
        <family val="2"/>
        <scheme val="minor"/>
      </rPr>
      <t>Door hardware is damaged or non‐functional and requires replacement</t>
    </r>
  </si>
  <si>
    <r>
      <t xml:space="preserve">Cell: </t>
    </r>
    <r>
      <rPr>
        <sz val="10"/>
        <color theme="1"/>
        <rFont val="Calibri"/>
        <family val="2"/>
        <scheme val="minor"/>
      </rPr>
      <t>L34</t>
    </r>
  </si>
  <si>
    <r>
      <t xml:space="preserve">Comment: </t>
    </r>
    <r>
      <rPr>
        <sz val="10"/>
        <color theme="1"/>
        <rFont val="Calibri"/>
        <family val="2"/>
        <scheme val="minor"/>
      </rPr>
      <t>Door panel and hardware are damaged and require replacement</t>
    </r>
  </si>
  <si>
    <r>
      <t xml:space="preserve">Cell: </t>
    </r>
    <r>
      <rPr>
        <sz val="10"/>
        <color theme="1"/>
        <rFont val="Calibri"/>
        <family val="2"/>
        <scheme val="minor"/>
      </rPr>
      <t>N34</t>
    </r>
  </si>
  <si>
    <r>
      <t xml:space="preserve">Comment: </t>
    </r>
    <r>
      <rPr>
        <sz val="10"/>
        <color theme="1"/>
        <rFont val="Calibri"/>
        <family val="2"/>
        <scheme val="minor"/>
      </rPr>
      <t>Door frame, door, and hardware are damaged and require replacement</t>
    </r>
  </si>
  <si>
    <r>
      <t xml:space="preserve">Cell: </t>
    </r>
    <r>
      <rPr>
        <sz val="10"/>
        <color theme="1"/>
        <rFont val="Calibri"/>
        <family val="2"/>
        <scheme val="minor"/>
      </rPr>
      <t>D35</t>
    </r>
  </si>
  <si>
    <r>
      <t xml:space="preserve">Cell: </t>
    </r>
    <r>
      <rPr>
        <sz val="10"/>
        <color theme="1"/>
        <rFont val="Calibri"/>
        <family val="2"/>
        <scheme val="minor"/>
      </rPr>
      <t>J35</t>
    </r>
  </si>
  <si>
    <r>
      <t xml:space="preserve">Cell: </t>
    </r>
    <r>
      <rPr>
        <sz val="10"/>
        <color theme="1"/>
        <rFont val="Calibri"/>
        <family val="2"/>
        <scheme val="minor"/>
      </rPr>
      <t>L35</t>
    </r>
  </si>
  <si>
    <r>
      <t xml:space="preserve">Cell: </t>
    </r>
    <r>
      <rPr>
        <sz val="10"/>
        <color theme="1"/>
        <rFont val="Calibri"/>
        <family val="2"/>
        <scheme val="minor"/>
      </rPr>
      <t>N35</t>
    </r>
  </si>
  <si>
    <r>
      <t xml:space="preserve">Cell: </t>
    </r>
    <r>
      <rPr>
        <sz val="10"/>
        <color theme="1"/>
        <rFont val="Calibri"/>
        <family val="2"/>
        <scheme val="minor"/>
      </rPr>
      <t>D36</t>
    </r>
  </si>
  <si>
    <r>
      <t xml:space="preserve">Cell: </t>
    </r>
    <r>
      <rPr>
        <sz val="10"/>
        <color theme="1"/>
        <rFont val="Calibri"/>
        <family val="2"/>
        <scheme val="minor"/>
      </rPr>
      <t>J36</t>
    </r>
  </si>
  <si>
    <r>
      <t xml:space="preserve">Cell: </t>
    </r>
    <r>
      <rPr>
        <sz val="10"/>
        <color theme="1"/>
        <rFont val="Calibri"/>
        <family val="2"/>
        <scheme val="minor"/>
      </rPr>
      <t>L36</t>
    </r>
  </si>
  <si>
    <r>
      <t xml:space="preserve">Cell: </t>
    </r>
    <r>
      <rPr>
        <sz val="10"/>
        <color theme="1"/>
        <rFont val="Calibri"/>
        <family val="2"/>
        <scheme val="minor"/>
      </rPr>
      <t>N36</t>
    </r>
  </si>
  <si>
    <r>
      <t xml:space="preserve">Cell: </t>
    </r>
    <r>
      <rPr>
        <sz val="10"/>
        <color theme="1"/>
        <rFont val="Calibri"/>
        <family val="2"/>
        <scheme val="minor"/>
      </rPr>
      <t>C38</t>
    </r>
  </si>
  <si>
    <r>
      <t xml:space="preserve">Comment: </t>
    </r>
    <r>
      <rPr>
        <sz val="10"/>
        <color theme="1"/>
        <rFont val="Calibri"/>
        <family val="2"/>
        <scheme val="minor"/>
      </rPr>
      <t>Assumes the insulation, roof covering, and associated flashings, gutters, and downspouts</t>
    </r>
  </si>
  <si>
    <r>
      <t xml:space="preserve">Cell: </t>
    </r>
    <r>
      <rPr>
        <sz val="10"/>
        <color theme="1"/>
        <rFont val="Calibri"/>
        <family val="2"/>
        <scheme val="minor"/>
      </rPr>
      <t>D38</t>
    </r>
  </si>
  <si>
    <r>
      <t xml:space="preserve">Comment: </t>
    </r>
    <r>
      <rPr>
        <sz val="10"/>
        <color theme="1"/>
        <rFont val="Calibri"/>
        <family val="2"/>
        <scheme val="minor"/>
      </rPr>
      <t>Apply to roof area</t>
    </r>
  </si>
  <si>
    <r>
      <t xml:space="preserve">Cell: </t>
    </r>
    <r>
      <rPr>
        <sz val="10"/>
        <color theme="1"/>
        <rFont val="Calibri"/>
        <family val="2"/>
        <scheme val="minor"/>
      </rPr>
      <t>H38</t>
    </r>
  </si>
  <si>
    <r>
      <t xml:space="preserve">Comment: </t>
    </r>
    <r>
      <rPr>
        <sz val="10"/>
        <color theme="1"/>
        <rFont val="Calibri"/>
        <family val="2"/>
        <scheme val="minor"/>
      </rPr>
      <t>Small number of shingles lifting and/or separation in a portion of flashing</t>
    </r>
  </si>
  <si>
    <r>
      <t xml:space="preserve">Cell: </t>
    </r>
    <r>
      <rPr>
        <sz val="10"/>
        <color theme="1"/>
        <rFont val="Calibri"/>
        <family val="2"/>
        <scheme val="minor"/>
      </rPr>
      <t>J38</t>
    </r>
  </si>
  <si>
    <r>
      <t xml:space="preserve">Comment: </t>
    </r>
    <r>
      <rPr>
        <sz val="10"/>
        <color theme="1"/>
        <rFont val="Calibri"/>
        <family val="2"/>
        <scheme val="minor"/>
      </rPr>
      <t>Leaks in a specific area or zone related to poor detailing and or flashing</t>
    </r>
  </si>
  <si>
    <r>
      <t xml:space="preserve">Cell: </t>
    </r>
    <r>
      <rPr>
        <sz val="10"/>
        <color theme="1"/>
        <rFont val="Calibri"/>
        <family val="2"/>
        <scheme val="minor"/>
      </rPr>
      <t>L38</t>
    </r>
  </si>
  <si>
    <r>
      <t xml:space="preserve">Comment: </t>
    </r>
    <r>
      <rPr>
        <sz val="10"/>
        <color theme="1"/>
        <rFont val="Calibri"/>
        <family val="2"/>
        <scheme val="minor"/>
      </rPr>
      <t>System in complete failure with multiple leaks and multiple examples of visible breaches in system ‐ Replace roof system OVER TOP OF EXISTING</t>
    </r>
  </si>
  <si>
    <r>
      <t xml:space="preserve">Cell: </t>
    </r>
    <r>
      <rPr>
        <sz val="10"/>
        <color theme="1"/>
        <rFont val="Calibri"/>
        <family val="2"/>
        <scheme val="minor"/>
      </rPr>
      <t>N38</t>
    </r>
  </si>
  <si>
    <r>
      <t xml:space="preserve">Comment: </t>
    </r>
    <r>
      <rPr>
        <sz val="10"/>
        <color theme="1"/>
        <rFont val="Calibri"/>
        <family val="2"/>
        <scheme val="minor"/>
      </rPr>
      <t>System in complete failure with multiple leaks and multiple examples of visible breaches in system ‐ REMOVE AND Replace roof system</t>
    </r>
  </si>
  <si>
    <r>
      <t xml:space="preserve">Cell: </t>
    </r>
    <r>
      <rPr>
        <sz val="10"/>
        <color theme="1"/>
        <rFont val="Calibri"/>
        <family val="2"/>
        <scheme val="minor"/>
      </rPr>
      <t>D39</t>
    </r>
  </si>
  <si>
    <r>
      <t xml:space="preserve">Cell: </t>
    </r>
    <r>
      <rPr>
        <sz val="10"/>
        <color theme="1"/>
        <rFont val="Calibri"/>
        <family val="2"/>
        <scheme val="minor"/>
      </rPr>
      <t>H39</t>
    </r>
  </si>
  <si>
    <r>
      <t xml:space="preserve">Comment: </t>
    </r>
    <r>
      <rPr>
        <sz val="10"/>
        <color theme="1"/>
        <rFont val="Calibri"/>
        <family val="2"/>
        <scheme val="minor"/>
      </rPr>
      <t>Minor blistering requiring isolated patches</t>
    </r>
  </si>
  <si>
    <r>
      <t xml:space="preserve">Cell: </t>
    </r>
    <r>
      <rPr>
        <sz val="10"/>
        <color theme="1"/>
        <rFont val="Calibri"/>
        <family val="2"/>
        <scheme val="minor"/>
      </rPr>
      <t>J39</t>
    </r>
  </si>
  <si>
    <r>
      <t xml:space="preserve">Comment: </t>
    </r>
    <r>
      <rPr>
        <sz val="10"/>
        <color theme="1"/>
        <rFont val="Calibri"/>
        <family val="2"/>
        <scheme val="minor"/>
      </rPr>
      <t>Leaks in a specific area or zone related to poor detailing and or flashing or unchecked blisters</t>
    </r>
  </si>
  <si>
    <r>
      <t xml:space="preserve">Cell: </t>
    </r>
    <r>
      <rPr>
        <sz val="10"/>
        <color theme="1"/>
        <rFont val="Calibri"/>
        <family val="2"/>
        <scheme val="minor"/>
      </rPr>
      <t>L39</t>
    </r>
  </si>
  <si>
    <r>
      <t xml:space="preserve">Cell: </t>
    </r>
    <r>
      <rPr>
        <sz val="10"/>
        <color theme="1"/>
        <rFont val="Calibri"/>
        <family val="2"/>
        <scheme val="minor"/>
      </rPr>
      <t>N39</t>
    </r>
  </si>
  <si>
    <r>
      <t xml:space="preserve">Cell: </t>
    </r>
    <r>
      <rPr>
        <sz val="10"/>
        <color theme="1"/>
        <rFont val="Calibri"/>
        <family val="2"/>
        <scheme val="minor"/>
      </rPr>
      <t>D40</t>
    </r>
  </si>
  <si>
    <r>
      <t xml:space="preserve">Cell: </t>
    </r>
    <r>
      <rPr>
        <sz val="10"/>
        <color theme="1"/>
        <rFont val="Calibri"/>
        <family val="2"/>
        <scheme val="minor"/>
      </rPr>
      <t>H40</t>
    </r>
  </si>
  <si>
    <r>
      <t xml:space="preserve">Cell: </t>
    </r>
    <r>
      <rPr>
        <sz val="10"/>
        <color theme="1"/>
        <rFont val="Calibri"/>
        <family val="2"/>
        <scheme val="minor"/>
      </rPr>
      <t>J40</t>
    </r>
  </si>
  <si>
    <r>
      <t xml:space="preserve">Comment: </t>
    </r>
    <r>
      <rPr>
        <sz val="10"/>
        <color theme="1"/>
        <rFont val="Calibri"/>
        <family val="2"/>
        <scheme val="minor"/>
      </rPr>
      <t>Leaks in a specific area or zone related to poor detailing and or flashing or seam separation</t>
    </r>
  </si>
  <si>
    <r>
      <t xml:space="preserve">Cell: </t>
    </r>
    <r>
      <rPr>
        <sz val="10"/>
        <color theme="1"/>
        <rFont val="Calibri"/>
        <family val="2"/>
        <scheme val="minor"/>
      </rPr>
      <t>L40</t>
    </r>
  </si>
  <si>
    <r>
      <t xml:space="preserve">Comment: </t>
    </r>
    <r>
      <rPr>
        <sz val="10"/>
        <color theme="1"/>
        <rFont val="Calibri"/>
        <family val="2"/>
        <scheme val="minor"/>
      </rPr>
      <t>System in complete failure with multiple leaks and multiple examples of visible breaches in system ‐ Prep and re‐coat roof system OVER TOP OF EXISTING</t>
    </r>
  </si>
  <si>
    <r>
      <t xml:space="preserve">Cell: </t>
    </r>
    <r>
      <rPr>
        <sz val="10"/>
        <color theme="1"/>
        <rFont val="Calibri"/>
        <family val="2"/>
        <scheme val="minor"/>
      </rPr>
      <t>N40</t>
    </r>
  </si>
  <si>
    <r>
      <t xml:space="preserve">Cell: </t>
    </r>
    <r>
      <rPr>
        <sz val="10"/>
        <color theme="1"/>
        <rFont val="Calibri"/>
        <family val="2"/>
        <scheme val="minor"/>
      </rPr>
      <t>D41</t>
    </r>
  </si>
  <si>
    <r>
      <t xml:space="preserve">Cell: </t>
    </r>
    <r>
      <rPr>
        <sz val="10"/>
        <color theme="1"/>
        <rFont val="Calibri"/>
        <family val="2"/>
        <scheme val="minor"/>
      </rPr>
      <t>J41</t>
    </r>
  </si>
  <si>
    <r>
      <t xml:space="preserve">Comment: </t>
    </r>
    <r>
      <rPr>
        <sz val="10"/>
        <color theme="1"/>
        <rFont val="Calibri"/>
        <family val="2"/>
        <scheme val="minor"/>
      </rPr>
      <t>Leaks are occurring and flashing at seams or transitions has separated requiring replacement of flashing and sealant</t>
    </r>
  </si>
  <si>
    <r>
      <t xml:space="preserve">Cell: </t>
    </r>
    <r>
      <rPr>
        <sz val="10"/>
        <color theme="1"/>
        <rFont val="Calibri"/>
        <family val="2"/>
        <scheme val="minor"/>
      </rPr>
      <t>N41</t>
    </r>
  </si>
  <si>
    <r>
      <t xml:space="preserve">Comment: </t>
    </r>
    <r>
      <rPr>
        <sz val="10"/>
        <color theme="1"/>
        <rFont val="Calibri"/>
        <family val="2"/>
        <scheme val="minor"/>
      </rPr>
      <t>Panels have lifted or separated and water intrusion is evident. Remove and replace panels and associated flashing</t>
    </r>
  </si>
  <si>
    <r>
      <t xml:space="preserve">Cell: </t>
    </r>
    <r>
      <rPr>
        <sz val="10"/>
        <color theme="1"/>
        <rFont val="Calibri"/>
        <family val="2"/>
        <scheme val="minor"/>
      </rPr>
      <t>D42</t>
    </r>
  </si>
  <si>
    <r>
      <t xml:space="preserve">Cell: </t>
    </r>
    <r>
      <rPr>
        <sz val="10"/>
        <color theme="1"/>
        <rFont val="Calibri"/>
        <family val="2"/>
        <scheme val="minor"/>
      </rPr>
      <t>J42</t>
    </r>
  </si>
  <si>
    <r>
      <t xml:space="preserve">Comment: </t>
    </r>
    <r>
      <rPr>
        <sz val="10"/>
        <color theme="1"/>
        <rFont val="Calibri"/>
        <family val="2"/>
        <scheme val="minor"/>
      </rPr>
      <t>Leaks occurring at isolated areas requiring grout removal and re‐grout at isolated tile locations</t>
    </r>
  </si>
  <si>
    <r>
      <t xml:space="preserve">Cell: </t>
    </r>
    <r>
      <rPr>
        <sz val="10"/>
        <color theme="1"/>
        <rFont val="Calibri"/>
        <family val="2"/>
        <scheme val="minor"/>
      </rPr>
      <t>N42</t>
    </r>
  </si>
  <si>
    <r>
      <t xml:space="preserve">Comment: </t>
    </r>
    <r>
      <rPr>
        <sz val="10"/>
        <color theme="1"/>
        <rFont val="Calibri"/>
        <family val="2"/>
        <scheme val="minor"/>
      </rPr>
      <t>Tiles are cracked, loose, or damaged and require removal and replacement</t>
    </r>
  </si>
  <si>
    <r>
      <t xml:space="preserve">Cell: </t>
    </r>
    <r>
      <rPr>
        <sz val="10"/>
        <color theme="1"/>
        <rFont val="Calibri"/>
        <family val="2"/>
        <scheme val="minor"/>
      </rPr>
      <t>D43</t>
    </r>
  </si>
  <si>
    <r>
      <t xml:space="preserve">Comment: </t>
    </r>
    <r>
      <rPr>
        <sz val="10"/>
        <color theme="1"/>
        <rFont val="Calibri"/>
        <family val="2"/>
        <scheme val="minor"/>
      </rPr>
      <t>Apply to roof opening area</t>
    </r>
  </si>
  <si>
    <r>
      <t xml:space="preserve">Cell: </t>
    </r>
    <r>
      <rPr>
        <sz val="10"/>
        <color theme="1"/>
        <rFont val="Calibri"/>
        <family val="2"/>
        <scheme val="minor"/>
      </rPr>
      <t>J43</t>
    </r>
  </si>
  <si>
    <r>
      <t xml:space="preserve">Comment: </t>
    </r>
    <r>
      <rPr>
        <sz val="10"/>
        <color theme="1"/>
        <rFont val="Calibri"/>
        <family val="2"/>
        <scheme val="minor"/>
      </rPr>
      <t>Minor leaking is occurring, requiring re‐caulk and re‐seal</t>
    </r>
  </si>
  <si>
    <r>
      <t xml:space="preserve">Cell: </t>
    </r>
    <r>
      <rPr>
        <sz val="10"/>
        <color theme="1"/>
        <rFont val="Calibri"/>
        <family val="2"/>
        <scheme val="minor"/>
      </rPr>
      <t>N43</t>
    </r>
  </si>
  <si>
    <r>
      <t xml:space="preserve">Comment: </t>
    </r>
    <r>
      <rPr>
        <sz val="10"/>
        <color theme="1"/>
        <rFont val="Calibri"/>
        <family val="2"/>
        <scheme val="minor"/>
      </rPr>
      <t>The panes or framing are damaged beyond repair and requires replacement</t>
    </r>
  </si>
  <si>
    <r>
      <t xml:space="preserve">Cell: </t>
    </r>
    <r>
      <rPr>
        <sz val="10"/>
        <color theme="1"/>
        <rFont val="Calibri"/>
        <family val="2"/>
        <scheme val="minor"/>
      </rPr>
      <t>D44</t>
    </r>
  </si>
  <si>
    <r>
      <t xml:space="preserve">Cell: </t>
    </r>
    <r>
      <rPr>
        <sz val="10"/>
        <color theme="1"/>
        <rFont val="Calibri"/>
        <family val="2"/>
        <scheme val="minor"/>
      </rPr>
      <t>N44</t>
    </r>
  </si>
  <si>
    <r>
      <t xml:space="preserve">Comment: </t>
    </r>
    <r>
      <rPr>
        <sz val="10"/>
        <color theme="1"/>
        <rFont val="Calibri"/>
        <family val="2"/>
        <scheme val="minor"/>
      </rPr>
      <t>The door is non‐functional or damaged beyond repair and requires replacement</t>
    </r>
  </si>
  <si>
    <r>
      <t xml:space="preserve">Cell: </t>
    </r>
    <r>
      <rPr>
        <sz val="10"/>
        <color theme="1"/>
        <rFont val="Calibri"/>
        <family val="2"/>
        <scheme val="minor"/>
      </rPr>
      <t>D47</t>
    </r>
  </si>
  <si>
    <r>
      <t xml:space="preserve">Cell: </t>
    </r>
    <r>
      <rPr>
        <sz val="10"/>
        <color theme="1"/>
        <rFont val="Calibri"/>
        <family val="2"/>
        <scheme val="minor"/>
      </rPr>
      <t>N47</t>
    </r>
  </si>
  <si>
    <r>
      <t xml:space="preserve">Cell: </t>
    </r>
    <r>
      <rPr>
        <sz val="10"/>
        <color theme="1"/>
        <rFont val="Calibri"/>
        <family val="2"/>
        <scheme val="minor"/>
      </rPr>
      <t>D48</t>
    </r>
  </si>
  <si>
    <r>
      <t xml:space="preserve">Cell: </t>
    </r>
    <r>
      <rPr>
        <sz val="10"/>
        <color theme="1"/>
        <rFont val="Calibri"/>
        <family val="2"/>
        <scheme val="minor"/>
      </rPr>
      <t>L48</t>
    </r>
  </si>
  <si>
    <r>
      <t xml:space="preserve">Comment: </t>
    </r>
    <r>
      <rPr>
        <sz val="10"/>
        <color theme="1"/>
        <rFont val="Calibri"/>
        <family val="2"/>
        <scheme val="minor"/>
      </rPr>
      <t>There are some blocks that are damaged and requires a strategic removal and replacement</t>
    </r>
  </si>
  <si>
    <r>
      <t xml:space="preserve">Cell: </t>
    </r>
    <r>
      <rPr>
        <sz val="10"/>
        <color theme="1"/>
        <rFont val="Calibri"/>
        <family val="2"/>
        <scheme val="minor"/>
      </rPr>
      <t>N48</t>
    </r>
  </si>
  <si>
    <r>
      <t xml:space="preserve">Cell: </t>
    </r>
    <r>
      <rPr>
        <sz val="10"/>
        <color theme="1"/>
        <rFont val="Calibri"/>
        <family val="2"/>
        <scheme val="minor"/>
      </rPr>
      <t>D49</t>
    </r>
  </si>
  <si>
    <r>
      <t xml:space="preserve">Cell: </t>
    </r>
    <r>
      <rPr>
        <sz val="10"/>
        <color theme="1"/>
        <rFont val="Calibri"/>
        <family val="2"/>
        <scheme val="minor"/>
      </rPr>
      <t>J49</t>
    </r>
  </si>
  <si>
    <r>
      <t xml:space="preserve">Cell: </t>
    </r>
    <r>
      <rPr>
        <sz val="10"/>
        <color theme="1"/>
        <rFont val="Calibri"/>
        <family val="2"/>
        <scheme val="minor"/>
      </rPr>
      <t>L49</t>
    </r>
  </si>
  <si>
    <r>
      <t xml:space="preserve">Cell: </t>
    </r>
    <r>
      <rPr>
        <sz val="10"/>
        <color theme="1"/>
        <rFont val="Calibri"/>
        <family val="2"/>
        <scheme val="minor"/>
      </rPr>
      <t>N49</t>
    </r>
  </si>
  <si>
    <r>
      <t xml:space="preserve">Cell: </t>
    </r>
    <r>
      <rPr>
        <sz val="10"/>
        <color theme="1"/>
        <rFont val="Calibri"/>
        <family val="2"/>
        <scheme val="minor"/>
      </rPr>
      <t>D50</t>
    </r>
  </si>
  <si>
    <r>
      <t xml:space="preserve">Cell: </t>
    </r>
    <r>
      <rPr>
        <sz val="10"/>
        <color theme="1"/>
        <rFont val="Calibri"/>
        <family val="2"/>
        <scheme val="minor"/>
      </rPr>
      <t>J50</t>
    </r>
  </si>
  <si>
    <r>
      <t xml:space="preserve">Cell: </t>
    </r>
    <r>
      <rPr>
        <sz val="10"/>
        <color theme="1"/>
        <rFont val="Calibri"/>
        <family val="2"/>
        <scheme val="minor"/>
      </rPr>
      <t>L50</t>
    </r>
  </si>
  <si>
    <r>
      <t xml:space="preserve">Cell: </t>
    </r>
    <r>
      <rPr>
        <sz val="10"/>
        <color theme="1"/>
        <rFont val="Calibri"/>
        <family val="2"/>
        <scheme val="minor"/>
      </rPr>
      <t>N50</t>
    </r>
  </si>
  <si>
    <r>
      <t xml:space="preserve">Cell: </t>
    </r>
    <r>
      <rPr>
        <sz val="10"/>
        <color theme="1"/>
        <rFont val="Calibri"/>
        <family val="2"/>
        <scheme val="minor"/>
      </rPr>
      <t>D53</t>
    </r>
  </si>
  <si>
    <r>
      <t xml:space="preserve">Comment: </t>
    </r>
    <r>
      <rPr>
        <sz val="10"/>
        <color theme="1"/>
        <rFont val="Calibri"/>
        <family val="2"/>
        <scheme val="minor"/>
      </rPr>
      <t>Apply to stair flights</t>
    </r>
  </si>
  <si>
    <r>
      <t xml:space="preserve">Cell: </t>
    </r>
    <r>
      <rPr>
        <sz val="10"/>
        <color theme="1"/>
        <rFont val="Calibri"/>
        <family val="2"/>
        <scheme val="minor"/>
      </rPr>
      <t>L53</t>
    </r>
  </si>
  <si>
    <r>
      <t xml:space="preserve">Comment: </t>
    </r>
    <r>
      <rPr>
        <sz val="10"/>
        <color theme="1"/>
        <rFont val="Calibri"/>
        <family val="2"/>
        <scheme val="minor"/>
      </rPr>
      <t>Rails not compliant with code and require removal and replacement</t>
    </r>
  </si>
  <si>
    <r>
      <t xml:space="preserve">Cell: </t>
    </r>
    <r>
      <rPr>
        <sz val="10"/>
        <color theme="1"/>
        <rFont val="Calibri"/>
        <family val="2"/>
        <scheme val="minor"/>
      </rPr>
      <t>N53</t>
    </r>
  </si>
  <si>
    <r>
      <t xml:space="preserve">Comment: </t>
    </r>
    <r>
      <rPr>
        <sz val="10"/>
        <color theme="1"/>
        <rFont val="Calibri"/>
        <family val="2"/>
        <scheme val="minor"/>
      </rPr>
      <t>Structural integrity of stair unit is compromised and requires its removal and replacement</t>
    </r>
  </si>
  <si>
    <r>
      <t xml:space="preserve">Cell: </t>
    </r>
    <r>
      <rPr>
        <sz val="10"/>
        <color theme="1"/>
        <rFont val="Calibri"/>
        <family val="2"/>
        <scheme val="minor"/>
      </rPr>
      <t>D54</t>
    </r>
  </si>
  <si>
    <r>
      <t xml:space="preserve">Cell: </t>
    </r>
    <r>
      <rPr>
        <sz val="10"/>
        <color theme="1"/>
        <rFont val="Calibri"/>
        <family val="2"/>
        <scheme val="minor"/>
      </rPr>
      <t>H54</t>
    </r>
  </si>
  <si>
    <r>
      <t xml:space="preserve">Comment: </t>
    </r>
    <r>
      <rPr>
        <sz val="10"/>
        <color theme="1"/>
        <rFont val="Calibri"/>
        <family val="2"/>
        <scheme val="minor"/>
      </rPr>
      <t>Rust visible ‐ prep and re‐finish</t>
    </r>
  </si>
  <si>
    <r>
      <t xml:space="preserve">Cell: </t>
    </r>
    <r>
      <rPr>
        <sz val="10"/>
        <color theme="1"/>
        <rFont val="Calibri"/>
        <family val="2"/>
        <scheme val="minor"/>
      </rPr>
      <t>L54</t>
    </r>
  </si>
  <si>
    <r>
      <t xml:space="preserve">Cell: </t>
    </r>
    <r>
      <rPr>
        <sz val="10"/>
        <color theme="1"/>
        <rFont val="Calibri"/>
        <family val="2"/>
        <scheme val="minor"/>
      </rPr>
      <t>D55</t>
    </r>
  </si>
  <si>
    <r>
      <t xml:space="preserve">Cell: </t>
    </r>
    <r>
      <rPr>
        <sz val="10"/>
        <color theme="1"/>
        <rFont val="Calibri"/>
        <family val="2"/>
        <scheme val="minor"/>
      </rPr>
      <t>L55</t>
    </r>
  </si>
  <si>
    <r>
      <t xml:space="preserve">Comment: </t>
    </r>
    <r>
      <rPr>
        <sz val="10"/>
        <color theme="1"/>
        <rFont val="Calibri"/>
        <family val="2"/>
        <scheme val="minor"/>
      </rPr>
      <t>An isolated structural crack or separation requiring re‐enforcement in place</t>
    </r>
  </si>
  <si>
    <r>
      <t xml:space="preserve">Cell: </t>
    </r>
    <r>
      <rPr>
        <sz val="10"/>
        <color theme="1"/>
        <rFont val="Calibri"/>
        <family val="2"/>
        <scheme val="minor"/>
      </rPr>
      <t>N55</t>
    </r>
  </si>
  <si>
    <r>
      <t xml:space="preserve">Comment: </t>
    </r>
    <r>
      <rPr>
        <sz val="10"/>
        <color theme="1"/>
        <rFont val="Calibri"/>
        <family val="2"/>
        <scheme val="minor"/>
      </rPr>
      <t>Structural cracking and separation occurring in multiple locations ‐ remove and replace the stair unit</t>
    </r>
  </si>
  <si>
    <r>
      <t xml:space="preserve">Cell: </t>
    </r>
    <r>
      <rPr>
        <sz val="10"/>
        <color theme="1"/>
        <rFont val="Calibri"/>
        <family val="2"/>
        <scheme val="minor"/>
      </rPr>
      <t>D56</t>
    </r>
  </si>
  <si>
    <r>
      <t xml:space="preserve">Comment: </t>
    </r>
    <r>
      <rPr>
        <sz val="10"/>
        <color theme="1"/>
        <rFont val="Calibri"/>
        <family val="2"/>
        <scheme val="minor"/>
      </rPr>
      <t>Apply stair tread and riser area</t>
    </r>
  </si>
  <si>
    <r>
      <t xml:space="preserve">Cell: </t>
    </r>
    <r>
      <rPr>
        <sz val="10"/>
        <color theme="1"/>
        <rFont val="Calibri"/>
        <family val="2"/>
        <scheme val="minor"/>
      </rPr>
      <t>H56</t>
    </r>
  </si>
  <si>
    <r>
      <t xml:space="preserve">Comment: </t>
    </r>
    <r>
      <rPr>
        <sz val="10"/>
        <color theme="1"/>
        <rFont val="Calibri"/>
        <family val="2"/>
        <scheme val="minor"/>
      </rPr>
      <t>Surface feels rough and/or taking in moisture from the surface resulting in staining ‐ prep and re‐seal</t>
    </r>
  </si>
  <si>
    <r>
      <t xml:space="preserve">Cell: </t>
    </r>
    <r>
      <rPr>
        <sz val="10"/>
        <color theme="1"/>
        <rFont val="Calibri"/>
        <family val="2"/>
        <scheme val="minor"/>
      </rPr>
      <t>N56</t>
    </r>
  </si>
  <si>
    <r>
      <t xml:space="preserve">Comment: </t>
    </r>
    <r>
      <rPr>
        <sz val="10"/>
        <color theme="1"/>
        <rFont val="Calibri"/>
        <family val="2"/>
        <scheme val="minor"/>
      </rPr>
      <t>Severe cracking requiring removal and replacement of tread in fills</t>
    </r>
  </si>
  <si>
    <r>
      <t xml:space="preserve">Cell: </t>
    </r>
    <r>
      <rPr>
        <sz val="10"/>
        <color theme="1"/>
        <rFont val="Calibri"/>
        <family val="2"/>
        <scheme val="minor"/>
      </rPr>
      <t>D57</t>
    </r>
  </si>
  <si>
    <r>
      <t xml:space="preserve">Cell: </t>
    </r>
    <r>
      <rPr>
        <sz val="10"/>
        <color theme="1"/>
        <rFont val="Calibri"/>
        <family val="2"/>
        <scheme val="minor"/>
      </rPr>
      <t>N57</t>
    </r>
  </si>
  <si>
    <r>
      <t xml:space="preserve">Comment: </t>
    </r>
    <r>
      <rPr>
        <sz val="10"/>
        <color theme="1"/>
        <rFont val="Calibri"/>
        <family val="2"/>
        <scheme val="minor"/>
      </rPr>
      <t>finish is lifting or separating and creating trip hazards ‐ remove and replace</t>
    </r>
  </si>
  <si>
    <r>
      <t xml:space="preserve">Cell: </t>
    </r>
    <r>
      <rPr>
        <sz val="10"/>
        <color theme="1"/>
        <rFont val="Calibri"/>
        <family val="2"/>
        <scheme val="minor"/>
      </rPr>
      <t>D59</t>
    </r>
  </si>
  <si>
    <r>
      <t xml:space="preserve">Comment: </t>
    </r>
    <r>
      <rPr>
        <sz val="10"/>
        <color theme="1"/>
        <rFont val="Calibri"/>
        <family val="2"/>
        <scheme val="minor"/>
      </rPr>
      <t>Apply to surface treated</t>
    </r>
  </si>
  <si>
    <r>
      <t xml:space="preserve">Cell: </t>
    </r>
    <r>
      <rPr>
        <sz val="10"/>
        <color theme="1"/>
        <rFont val="Calibri"/>
        <family val="2"/>
        <scheme val="minor"/>
      </rPr>
      <t>H59</t>
    </r>
  </si>
  <si>
    <r>
      <t xml:space="preserve">Cell: </t>
    </r>
    <r>
      <rPr>
        <sz val="10"/>
        <color theme="1"/>
        <rFont val="Calibri"/>
        <family val="2"/>
        <scheme val="minor"/>
      </rPr>
      <t>N59</t>
    </r>
  </si>
  <si>
    <r>
      <t xml:space="preserve">Comment: </t>
    </r>
    <r>
      <rPr>
        <sz val="10"/>
        <color theme="1"/>
        <rFont val="Calibri"/>
        <family val="2"/>
        <scheme val="minor"/>
      </rPr>
      <t>Systemic failure of finish, possible water intrusion ‐ requires removal and replacement</t>
    </r>
  </si>
  <si>
    <r>
      <t xml:space="preserve">Cell: </t>
    </r>
    <r>
      <rPr>
        <sz val="10"/>
        <color theme="1"/>
        <rFont val="Calibri"/>
        <family val="2"/>
        <scheme val="minor"/>
      </rPr>
      <t>D60</t>
    </r>
  </si>
  <si>
    <r>
      <t xml:space="preserve">Cell: </t>
    </r>
    <r>
      <rPr>
        <sz val="10"/>
        <color theme="1"/>
        <rFont val="Calibri"/>
        <family val="2"/>
        <scheme val="minor"/>
      </rPr>
      <t>H60</t>
    </r>
  </si>
  <si>
    <r>
      <t xml:space="preserve">Cell: </t>
    </r>
    <r>
      <rPr>
        <sz val="10"/>
        <color theme="1"/>
        <rFont val="Calibri"/>
        <family val="2"/>
        <scheme val="minor"/>
      </rPr>
      <t>J60</t>
    </r>
  </si>
  <si>
    <r>
      <t xml:space="preserve">Comment: </t>
    </r>
    <r>
      <rPr>
        <sz val="10"/>
        <color theme="1"/>
        <rFont val="Calibri"/>
        <family val="2"/>
        <scheme val="minor"/>
      </rPr>
      <t>Surface is damaged ‐ patching of the surface is required prior to painting</t>
    </r>
  </si>
  <si>
    <r>
      <t xml:space="preserve">Cell: </t>
    </r>
    <r>
      <rPr>
        <sz val="10"/>
        <color theme="1"/>
        <rFont val="Calibri"/>
        <family val="2"/>
        <scheme val="minor"/>
      </rPr>
      <t>N60</t>
    </r>
  </si>
  <si>
    <r>
      <t xml:space="preserve">Cell: </t>
    </r>
    <r>
      <rPr>
        <sz val="10"/>
        <color theme="1"/>
        <rFont val="Calibri"/>
        <family val="2"/>
        <scheme val="minor"/>
      </rPr>
      <t>D61</t>
    </r>
  </si>
  <si>
    <r>
      <t xml:space="preserve">Cell: </t>
    </r>
    <r>
      <rPr>
        <sz val="10"/>
        <color theme="1"/>
        <rFont val="Calibri"/>
        <family val="2"/>
        <scheme val="minor"/>
      </rPr>
      <t>H61</t>
    </r>
  </si>
  <si>
    <r>
      <t xml:space="preserve">Cell: </t>
    </r>
    <r>
      <rPr>
        <sz val="10"/>
        <color theme="1"/>
        <rFont val="Calibri"/>
        <family val="2"/>
        <scheme val="minor"/>
      </rPr>
      <t>N61</t>
    </r>
  </si>
  <si>
    <r>
      <t xml:space="preserve">Cell: </t>
    </r>
    <r>
      <rPr>
        <sz val="10"/>
        <color theme="1"/>
        <rFont val="Calibri"/>
        <family val="2"/>
        <scheme val="minor"/>
      </rPr>
      <t>D62</t>
    </r>
  </si>
  <si>
    <r>
      <t xml:space="preserve">Cell: </t>
    </r>
    <r>
      <rPr>
        <sz val="10"/>
        <color theme="1"/>
        <rFont val="Calibri"/>
        <family val="2"/>
        <scheme val="minor"/>
      </rPr>
      <t>H62</t>
    </r>
  </si>
  <si>
    <r>
      <t xml:space="preserve">Comment: </t>
    </r>
    <r>
      <rPr>
        <sz val="10"/>
        <color theme="1"/>
        <rFont val="Calibri"/>
        <family val="2"/>
        <scheme val="minor"/>
      </rPr>
      <t>Grout is damaged or deteriorated</t>
    </r>
  </si>
  <si>
    <r>
      <t xml:space="preserve">Cell: </t>
    </r>
    <r>
      <rPr>
        <sz val="10"/>
        <color theme="1"/>
        <rFont val="Calibri"/>
        <family val="2"/>
        <scheme val="minor"/>
      </rPr>
      <t>N62</t>
    </r>
  </si>
  <si>
    <r>
      <t xml:space="preserve">Comment: </t>
    </r>
    <r>
      <rPr>
        <sz val="10"/>
        <color theme="1"/>
        <rFont val="Calibri"/>
        <family val="2"/>
        <scheme val="minor"/>
      </rPr>
      <t>Tiles are cracked or in disrepair</t>
    </r>
  </si>
  <si>
    <r>
      <t xml:space="preserve">Cell: </t>
    </r>
    <r>
      <rPr>
        <sz val="10"/>
        <color theme="1"/>
        <rFont val="Calibri"/>
        <family val="2"/>
        <scheme val="minor"/>
      </rPr>
      <t>D63</t>
    </r>
  </si>
  <si>
    <r>
      <t xml:space="preserve">Cell: </t>
    </r>
    <r>
      <rPr>
        <sz val="10"/>
        <color theme="1"/>
        <rFont val="Calibri"/>
        <family val="2"/>
        <scheme val="minor"/>
      </rPr>
      <t>N63</t>
    </r>
  </si>
  <si>
    <r>
      <t xml:space="preserve">Comment: </t>
    </r>
    <r>
      <rPr>
        <sz val="10"/>
        <color theme="1"/>
        <rFont val="Calibri"/>
        <family val="2"/>
        <scheme val="minor"/>
      </rPr>
      <t>worn or severely stained or starting to pull up / bubble</t>
    </r>
  </si>
  <si>
    <r>
      <t xml:space="preserve">Cell: </t>
    </r>
    <r>
      <rPr>
        <sz val="10"/>
        <color theme="1"/>
        <rFont val="Calibri"/>
        <family val="2"/>
        <scheme val="minor"/>
      </rPr>
      <t>D64</t>
    </r>
  </si>
  <si>
    <r>
      <t xml:space="preserve">Cell: </t>
    </r>
    <r>
      <rPr>
        <sz val="10"/>
        <color theme="1"/>
        <rFont val="Calibri"/>
        <family val="2"/>
        <scheme val="minor"/>
      </rPr>
      <t>H64</t>
    </r>
  </si>
  <si>
    <r>
      <t xml:space="preserve">Comment: </t>
    </r>
    <r>
      <rPr>
        <sz val="10"/>
        <color theme="1"/>
        <rFont val="Calibri"/>
        <family val="2"/>
        <scheme val="minor"/>
      </rPr>
      <t>sporadic number of tiles are lifting or cracked / broken and require replacement</t>
    </r>
  </si>
  <si>
    <r>
      <t xml:space="preserve">Cell: </t>
    </r>
    <r>
      <rPr>
        <sz val="10"/>
        <color theme="1"/>
        <rFont val="Calibri"/>
        <family val="2"/>
        <scheme val="minor"/>
      </rPr>
      <t>L64</t>
    </r>
  </si>
  <si>
    <r>
      <t xml:space="preserve">Comment: </t>
    </r>
    <r>
      <rPr>
        <sz val="10"/>
        <color theme="1"/>
        <rFont val="Calibri"/>
        <family val="2"/>
        <scheme val="minor"/>
      </rPr>
      <t>The majority of tiles are lifting, cracking / broken and require replacement ‐ the tiles or glue are NOT asbestos</t>
    </r>
  </si>
  <si>
    <r>
      <t xml:space="preserve">Cell: </t>
    </r>
    <r>
      <rPr>
        <sz val="10"/>
        <color theme="1"/>
        <rFont val="Calibri"/>
        <family val="2"/>
        <scheme val="minor"/>
      </rPr>
      <t>N64</t>
    </r>
  </si>
  <si>
    <r>
      <t xml:space="preserve">Comment: </t>
    </r>
    <r>
      <rPr>
        <sz val="10"/>
        <color theme="1"/>
        <rFont val="Calibri"/>
        <family val="2"/>
        <scheme val="minor"/>
      </rPr>
      <t>The majority of tiles are lifting, cracking / broken and require replacement ‐ the tiles or glue are asbestos</t>
    </r>
  </si>
  <si>
    <r>
      <t xml:space="preserve">Cell: </t>
    </r>
    <r>
      <rPr>
        <sz val="10"/>
        <color theme="1"/>
        <rFont val="Calibri"/>
        <family val="2"/>
        <scheme val="minor"/>
      </rPr>
      <t>D65</t>
    </r>
  </si>
  <si>
    <r>
      <t xml:space="preserve">Cell: </t>
    </r>
    <r>
      <rPr>
        <sz val="10"/>
        <color theme="1"/>
        <rFont val="Calibri"/>
        <family val="2"/>
        <scheme val="minor"/>
      </rPr>
      <t>N65</t>
    </r>
  </si>
  <si>
    <r>
      <t xml:space="preserve">Comment: </t>
    </r>
    <r>
      <rPr>
        <sz val="10"/>
        <color theme="1"/>
        <rFont val="Calibri"/>
        <family val="2"/>
        <scheme val="minor"/>
      </rPr>
      <t>Severely worn or seams separating ‐ replace</t>
    </r>
  </si>
  <si>
    <r>
      <t xml:space="preserve">Cell: </t>
    </r>
    <r>
      <rPr>
        <sz val="10"/>
        <color theme="1"/>
        <rFont val="Calibri"/>
        <family val="2"/>
        <scheme val="minor"/>
      </rPr>
      <t>D66</t>
    </r>
  </si>
  <si>
    <r>
      <t xml:space="preserve">Cell: </t>
    </r>
    <r>
      <rPr>
        <sz val="10"/>
        <color theme="1"/>
        <rFont val="Calibri"/>
        <family val="2"/>
        <scheme val="minor"/>
      </rPr>
      <t>H66</t>
    </r>
  </si>
  <si>
    <r>
      <t xml:space="preserve">Cell: </t>
    </r>
    <r>
      <rPr>
        <sz val="10"/>
        <color theme="1"/>
        <rFont val="Calibri"/>
        <family val="2"/>
        <scheme val="minor"/>
      </rPr>
      <t>N66</t>
    </r>
  </si>
  <si>
    <r>
      <t xml:space="preserve">Comment: </t>
    </r>
    <r>
      <rPr>
        <sz val="10"/>
        <color theme="1"/>
        <rFont val="Calibri"/>
        <family val="2"/>
        <scheme val="minor"/>
      </rPr>
      <t>Significant cracking, but not differential ‐ requires prep and crack filling prior to re‐seal. If differential, refer to slab on grade of floor construction above</t>
    </r>
  </si>
  <si>
    <r>
      <t xml:space="preserve">Cell: </t>
    </r>
    <r>
      <rPr>
        <sz val="10"/>
        <color theme="1"/>
        <rFont val="Calibri"/>
        <family val="2"/>
        <scheme val="minor"/>
      </rPr>
      <t>D67</t>
    </r>
  </si>
  <si>
    <r>
      <t xml:space="preserve">Cell: </t>
    </r>
    <r>
      <rPr>
        <sz val="10"/>
        <color theme="1"/>
        <rFont val="Calibri"/>
        <family val="2"/>
        <scheme val="minor"/>
      </rPr>
      <t>H67</t>
    </r>
  </si>
  <si>
    <r>
      <t xml:space="preserve">Cell: </t>
    </r>
    <r>
      <rPr>
        <sz val="10"/>
        <color theme="1"/>
        <rFont val="Calibri"/>
        <family val="2"/>
        <scheme val="minor"/>
      </rPr>
      <t>D68</t>
    </r>
  </si>
  <si>
    <r>
      <t xml:space="preserve">Cell: </t>
    </r>
    <r>
      <rPr>
        <sz val="10"/>
        <color theme="1"/>
        <rFont val="Calibri"/>
        <family val="2"/>
        <scheme val="minor"/>
      </rPr>
      <t>N68</t>
    </r>
  </si>
  <si>
    <r>
      <t xml:space="preserve">Comment: </t>
    </r>
    <r>
      <rPr>
        <sz val="10"/>
        <color theme="1"/>
        <rFont val="Calibri"/>
        <family val="2"/>
        <scheme val="minor"/>
      </rPr>
      <t>Systemic blistering or severely worn traffic areas ‐ strip and replace</t>
    </r>
  </si>
  <si>
    <r>
      <t xml:space="preserve">Cell: </t>
    </r>
    <r>
      <rPr>
        <sz val="10"/>
        <color theme="1"/>
        <rFont val="Calibri"/>
        <family val="2"/>
        <scheme val="minor"/>
      </rPr>
      <t>D69</t>
    </r>
  </si>
  <si>
    <r>
      <t xml:space="preserve">Cell: </t>
    </r>
    <r>
      <rPr>
        <sz val="10"/>
        <color theme="1"/>
        <rFont val="Calibri"/>
        <family val="2"/>
        <scheme val="minor"/>
      </rPr>
      <t>J69</t>
    </r>
  </si>
  <si>
    <r>
      <t xml:space="preserve">Comment: </t>
    </r>
    <r>
      <rPr>
        <sz val="10"/>
        <color theme="1"/>
        <rFont val="Calibri"/>
        <family val="2"/>
        <scheme val="minor"/>
      </rPr>
      <t>Surface is damaged ‐ requires sanding, repair, and re‐coat / re‐stripe</t>
    </r>
  </si>
  <si>
    <r>
      <t xml:space="preserve">Cell: </t>
    </r>
    <r>
      <rPr>
        <sz val="10"/>
        <color theme="1"/>
        <rFont val="Calibri"/>
        <family val="2"/>
        <scheme val="minor"/>
      </rPr>
      <t>N69</t>
    </r>
  </si>
  <si>
    <r>
      <t xml:space="preserve">Comment: </t>
    </r>
    <r>
      <rPr>
        <sz val="10"/>
        <color theme="1"/>
        <rFont val="Calibri"/>
        <family val="2"/>
        <scheme val="minor"/>
      </rPr>
      <t>Wood planks are deteriorated, separating, and multiple dead spots ‐ replace floor</t>
    </r>
  </si>
  <si>
    <r>
      <t xml:space="preserve">Cell: </t>
    </r>
    <r>
      <rPr>
        <sz val="10"/>
        <color theme="1"/>
        <rFont val="Calibri"/>
        <family val="2"/>
        <scheme val="minor"/>
      </rPr>
      <t>D70</t>
    </r>
  </si>
  <si>
    <r>
      <t xml:space="preserve">Cell: </t>
    </r>
    <r>
      <rPr>
        <sz val="10"/>
        <color theme="1"/>
        <rFont val="Calibri"/>
        <family val="2"/>
        <scheme val="minor"/>
      </rPr>
      <t>H70</t>
    </r>
  </si>
  <si>
    <r>
      <t xml:space="preserve">Cell: </t>
    </r>
    <r>
      <rPr>
        <sz val="10"/>
        <color theme="1"/>
        <rFont val="Calibri"/>
        <family val="2"/>
        <scheme val="minor"/>
      </rPr>
      <t>J70</t>
    </r>
  </si>
  <si>
    <r>
      <t xml:space="preserve">Cell: </t>
    </r>
    <r>
      <rPr>
        <sz val="10"/>
        <color theme="1"/>
        <rFont val="Calibri"/>
        <family val="2"/>
        <scheme val="minor"/>
      </rPr>
      <t>N70</t>
    </r>
  </si>
  <si>
    <r>
      <t xml:space="preserve">Cell: </t>
    </r>
    <r>
      <rPr>
        <sz val="10"/>
        <color theme="1"/>
        <rFont val="Calibri"/>
        <family val="2"/>
        <scheme val="minor"/>
      </rPr>
      <t>D71</t>
    </r>
  </si>
  <si>
    <r>
      <t xml:space="preserve">Cell: </t>
    </r>
    <r>
      <rPr>
        <sz val="10"/>
        <color theme="1"/>
        <rFont val="Calibri"/>
        <family val="2"/>
        <scheme val="minor"/>
      </rPr>
      <t>H71</t>
    </r>
  </si>
  <si>
    <r>
      <t xml:space="preserve">Comment: </t>
    </r>
    <r>
      <rPr>
        <sz val="10"/>
        <color theme="1"/>
        <rFont val="Calibri"/>
        <family val="2"/>
        <scheme val="minor"/>
      </rPr>
      <t>Stained or damaged ceiling tiles</t>
    </r>
  </si>
  <si>
    <r>
      <t xml:space="preserve">Cell: </t>
    </r>
    <r>
      <rPr>
        <sz val="10"/>
        <color theme="1"/>
        <rFont val="Calibri"/>
        <family val="2"/>
        <scheme val="minor"/>
      </rPr>
      <t>J71</t>
    </r>
  </si>
  <si>
    <r>
      <t xml:space="preserve">Comment: </t>
    </r>
    <r>
      <rPr>
        <sz val="10"/>
        <color theme="1"/>
        <rFont val="Calibri"/>
        <family val="2"/>
        <scheme val="minor"/>
      </rPr>
      <t>Diagonal bracing missing from grid</t>
    </r>
  </si>
  <si>
    <r>
      <t xml:space="preserve">Cell: </t>
    </r>
    <r>
      <rPr>
        <sz val="10"/>
        <color theme="1"/>
        <rFont val="Calibri"/>
        <family val="2"/>
        <scheme val="minor"/>
      </rPr>
      <t>N71</t>
    </r>
  </si>
  <si>
    <r>
      <t xml:space="preserve">Comment: </t>
    </r>
    <r>
      <rPr>
        <sz val="10"/>
        <color theme="1"/>
        <rFont val="Calibri"/>
        <family val="2"/>
        <scheme val="minor"/>
      </rPr>
      <t>Grid is sagging with tiles compromised ‐ requires replacement of system</t>
    </r>
  </si>
  <si>
    <r>
      <t xml:space="preserve">Cell: </t>
    </r>
    <r>
      <rPr>
        <sz val="10"/>
        <color theme="1"/>
        <rFont val="Calibri"/>
        <family val="2"/>
        <scheme val="minor"/>
      </rPr>
      <t>D72</t>
    </r>
  </si>
  <si>
    <r>
      <t xml:space="preserve">Cell: </t>
    </r>
    <r>
      <rPr>
        <sz val="10"/>
        <color theme="1"/>
        <rFont val="Calibri"/>
        <family val="2"/>
        <scheme val="minor"/>
      </rPr>
      <t>H72</t>
    </r>
  </si>
  <si>
    <r>
      <t xml:space="preserve">Cell: </t>
    </r>
    <r>
      <rPr>
        <sz val="10"/>
        <color theme="1"/>
        <rFont val="Calibri"/>
        <family val="2"/>
        <scheme val="minor"/>
      </rPr>
      <t>N72</t>
    </r>
  </si>
  <si>
    <r>
      <t xml:space="preserve">Cell: </t>
    </r>
    <r>
      <rPr>
        <sz val="10"/>
        <color theme="1"/>
        <rFont val="Calibri"/>
        <family val="2"/>
        <scheme val="minor"/>
      </rPr>
      <t>D73</t>
    </r>
  </si>
  <si>
    <r>
      <t xml:space="preserve">Cell: </t>
    </r>
    <r>
      <rPr>
        <sz val="10"/>
        <color theme="1"/>
        <rFont val="Calibri"/>
        <family val="2"/>
        <scheme val="minor"/>
      </rPr>
      <t>N73</t>
    </r>
  </si>
  <si>
    <r>
      <t xml:space="preserve">Cell: </t>
    </r>
    <r>
      <rPr>
        <sz val="10"/>
        <color theme="1"/>
        <rFont val="Calibri"/>
        <family val="2"/>
        <scheme val="minor"/>
      </rPr>
      <t>C76</t>
    </r>
  </si>
  <si>
    <r>
      <t xml:space="preserve">Comment: </t>
    </r>
    <r>
      <rPr>
        <sz val="10"/>
        <color theme="1"/>
        <rFont val="Calibri"/>
        <family val="2"/>
        <scheme val="minor"/>
      </rPr>
      <t>Assume standard cab‐style elevator; Apply per stop</t>
    </r>
  </si>
  <si>
    <r>
      <t xml:space="preserve">Cell: </t>
    </r>
    <r>
      <rPr>
        <sz val="10"/>
        <color theme="1"/>
        <rFont val="Calibri"/>
        <family val="2"/>
        <scheme val="minor"/>
      </rPr>
      <t>E76</t>
    </r>
  </si>
  <si>
    <r>
      <t xml:space="preserve">Comment: </t>
    </r>
    <r>
      <rPr>
        <sz val="10"/>
        <color theme="1"/>
        <rFont val="Calibri"/>
        <family val="2"/>
        <scheme val="minor"/>
      </rPr>
      <t>Insert number of elevators * number of stories ‐ i.e. if there are 2 elevators each going 3 stories ‐ insert 6</t>
    </r>
  </si>
  <si>
    <r>
      <t xml:space="preserve">Cell: </t>
    </r>
    <r>
      <rPr>
        <sz val="10"/>
        <color theme="1"/>
        <rFont val="Calibri"/>
        <family val="2"/>
        <scheme val="minor"/>
      </rPr>
      <t>H76</t>
    </r>
  </si>
  <si>
    <r>
      <t xml:space="preserve">Comment: </t>
    </r>
    <r>
      <rPr>
        <sz val="10"/>
        <color theme="1"/>
        <rFont val="Calibri"/>
        <family val="2"/>
        <scheme val="minor"/>
      </rPr>
      <t>The elevator doors are damaged and require replacement</t>
    </r>
  </si>
  <si>
    <r>
      <t xml:space="preserve">Cell: </t>
    </r>
    <r>
      <rPr>
        <sz val="10"/>
        <color theme="1"/>
        <rFont val="Calibri"/>
        <family val="2"/>
        <scheme val="minor"/>
      </rPr>
      <t>J76</t>
    </r>
  </si>
  <si>
    <r>
      <t xml:space="preserve">Comment: </t>
    </r>
    <r>
      <rPr>
        <sz val="10"/>
        <color theme="1"/>
        <rFont val="Calibri"/>
        <family val="2"/>
        <scheme val="minor"/>
      </rPr>
      <t>Electrical components are not working</t>
    </r>
  </si>
  <si>
    <r>
      <t xml:space="preserve">Cell: </t>
    </r>
    <r>
      <rPr>
        <sz val="10"/>
        <color theme="1"/>
        <rFont val="Calibri"/>
        <family val="2"/>
        <scheme val="minor"/>
      </rPr>
      <t>L76</t>
    </r>
  </si>
  <si>
    <r>
      <t xml:space="preserve">Comment: </t>
    </r>
    <r>
      <rPr>
        <sz val="10"/>
        <color theme="1"/>
        <rFont val="Calibri"/>
        <family val="2"/>
        <scheme val="minor"/>
      </rPr>
      <t>Replacement of the hoist cables, guide rails, or other similar mechanical components is required</t>
    </r>
  </si>
  <si>
    <r>
      <t xml:space="preserve">Cell: </t>
    </r>
    <r>
      <rPr>
        <sz val="10"/>
        <color theme="1"/>
        <rFont val="Calibri"/>
        <family val="2"/>
        <scheme val="minor"/>
      </rPr>
      <t>N76</t>
    </r>
  </si>
  <si>
    <r>
      <t xml:space="preserve">Comment: </t>
    </r>
    <r>
      <rPr>
        <sz val="10"/>
        <color theme="1"/>
        <rFont val="Calibri"/>
        <family val="2"/>
        <scheme val="minor"/>
      </rPr>
      <t>Mechanical and electrical components have deteriorated requiring the replacement of the system</t>
    </r>
  </si>
  <si>
    <r>
      <t xml:space="preserve">Cell: </t>
    </r>
    <r>
      <rPr>
        <sz val="10"/>
        <color theme="1"/>
        <rFont val="Calibri"/>
        <family val="2"/>
        <scheme val="minor"/>
      </rPr>
      <t xml:space="preserve">C77  </t>
    </r>
    <r>
      <rPr>
        <b/>
        <sz val="10"/>
        <color theme="1"/>
        <rFont val="Calibri"/>
        <family val="2"/>
        <scheme val="minor"/>
      </rPr>
      <t xml:space="preserve">Comment: </t>
    </r>
    <r>
      <rPr>
        <sz val="10"/>
        <color theme="1"/>
        <rFont val="Calibri"/>
        <family val="2"/>
        <scheme val="minor"/>
      </rPr>
      <t>Apply per flight</t>
    </r>
  </si>
  <si>
    <r>
      <t xml:space="preserve">Cell: </t>
    </r>
    <r>
      <rPr>
        <sz val="10"/>
        <color theme="1"/>
        <rFont val="Calibri"/>
        <family val="2"/>
        <scheme val="minor"/>
      </rPr>
      <t>E77</t>
    </r>
  </si>
  <si>
    <r>
      <t xml:space="preserve">Comment: </t>
    </r>
    <r>
      <rPr>
        <sz val="10"/>
        <color theme="1"/>
        <rFont val="Calibri"/>
        <family val="2"/>
        <scheme val="minor"/>
      </rPr>
      <t>Insert number of escalators * number of stories ‐ i.e. if there are 2 escalators each going 3 stories ‐ insert 6</t>
    </r>
  </si>
  <si>
    <r>
      <t xml:space="preserve">Cell: </t>
    </r>
    <r>
      <rPr>
        <sz val="10"/>
        <color theme="1"/>
        <rFont val="Calibri"/>
        <family val="2"/>
        <scheme val="minor"/>
      </rPr>
      <t>J77</t>
    </r>
  </si>
  <si>
    <r>
      <t xml:space="preserve">Cell: </t>
    </r>
    <r>
      <rPr>
        <sz val="10"/>
        <color theme="1"/>
        <rFont val="Calibri"/>
        <family val="2"/>
        <scheme val="minor"/>
      </rPr>
      <t>N77</t>
    </r>
  </si>
  <si>
    <r>
      <t xml:space="preserve">Cell: </t>
    </r>
    <r>
      <rPr>
        <sz val="10"/>
        <color theme="1"/>
        <rFont val="Calibri"/>
        <family val="2"/>
        <scheme val="minor"/>
      </rPr>
      <t>C78</t>
    </r>
  </si>
  <si>
    <r>
      <t xml:space="preserve">Comment: </t>
    </r>
    <r>
      <rPr>
        <sz val="10"/>
        <color theme="1"/>
        <rFont val="Calibri"/>
        <family val="2"/>
        <scheme val="minor"/>
      </rPr>
      <t>Assume open vertical or inclined lift; Apply per unit</t>
    </r>
  </si>
  <si>
    <r>
      <t xml:space="preserve">Cell: </t>
    </r>
    <r>
      <rPr>
        <sz val="10"/>
        <color theme="1"/>
        <rFont val="Calibri"/>
        <family val="2"/>
        <scheme val="minor"/>
      </rPr>
      <t>E78</t>
    </r>
  </si>
  <si>
    <r>
      <t xml:space="preserve">Comment: </t>
    </r>
    <r>
      <rPr>
        <sz val="10"/>
        <color theme="1"/>
        <rFont val="Calibri"/>
        <family val="2"/>
        <scheme val="minor"/>
      </rPr>
      <t>Insert number of lifts</t>
    </r>
  </si>
  <si>
    <r>
      <t xml:space="preserve">Cell: </t>
    </r>
    <r>
      <rPr>
        <sz val="10"/>
        <color theme="1"/>
        <rFont val="Calibri"/>
        <family val="2"/>
        <scheme val="minor"/>
      </rPr>
      <t>J78</t>
    </r>
  </si>
  <si>
    <r>
      <t xml:space="preserve">Cell: </t>
    </r>
    <r>
      <rPr>
        <sz val="10"/>
        <color theme="1"/>
        <rFont val="Calibri"/>
        <family val="2"/>
        <scheme val="minor"/>
      </rPr>
      <t>N78</t>
    </r>
  </si>
  <si>
    <r>
      <t xml:space="preserve">Cell: </t>
    </r>
    <r>
      <rPr>
        <sz val="10"/>
        <color theme="1"/>
        <rFont val="Calibri"/>
        <family val="2"/>
        <scheme val="minor"/>
      </rPr>
      <t>C80</t>
    </r>
  </si>
  <si>
    <r>
      <t xml:space="preserve">Comment: </t>
    </r>
    <r>
      <rPr>
        <sz val="10"/>
        <color theme="1"/>
        <rFont val="Calibri"/>
        <family val="2"/>
        <scheme val="minor"/>
      </rPr>
      <t>All fixtures (toilets, urinals, sinks, showers, etc.) to be lumped together here</t>
    </r>
  </si>
  <si>
    <r>
      <t xml:space="preserve">Cell: </t>
    </r>
    <r>
      <rPr>
        <sz val="10"/>
        <color theme="1"/>
        <rFont val="Calibri"/>
        <family val="2"/>
        <scheme val="minor"/>
      </rPr>
      <t>J80</t>
    </r>
  </si>
  <si>
    <r>
      <t xml:space="preserve">Comment: </t>
    </r>
    <r>
      <rPr>
        <sz val="10"/>
        <color theme="1"/>
        <rFont val="Calibri"/>
        <family val="2"/>
        <scheme val="minor"/>
      </rPr>
      <t>Flush valves or faucets are non‐functional and require replacement</t>
    </r>
  </si>
  <si>
    <r>
      <t xml:space="preserve">Cell: </t>
    </r>
    <r>
      <rPr>
        <sz val="10"/>
        <color theme="1"/>
        <rFont val="Calibri"/>
        <family val="2"/>
        <scheme val="minor"/>
      </rPr>
      <t>N80</t>
    </r>
  </si>
  <si>
    <r>
      <t xml:space="preserve">Comment: </t>
    </r>
    <r>
      <rPr>
        <sz val="10"/>
        <color theme="1"/>
        <rFont val="Calibri"/>
        <family val="2"/>
        <scheme val="minor"/>
      </rPr>
      <t>The fixture itself is broken or is not compliant with water efficiency standards</t>
    </r>
  </si>
  <si>
    <r>
      <t xml:space="preserve">Cell: </t>
    </r>
    <r>
      <rPr>
        <sz val="10"/>
        <color theme="1"/>
        <rFont val="Calibri"/>
        <family val="2"/>
        <scheme val="minor"/>
      </rPr>
      <t>H81</t>
    </r>
  </si>
  <si>
    <r>
      <t xml:space="preserve">Comment: </t>
    </r>
    <r>
      <rPr>
        <sz val="10"/>
        <color theme="1"/>
        <rFont val="Calibri"/>
        <family val="2"/>
        <scheme val="minor"/>
      </rPr>
      <t>The vale stems, pressure gauges, and gate valves no longer function.</t>
    </r>
  </si>
  <si>
    <r>
      <t xml:space="preserve">Cell: </t>
    </r>
    <r>
      <rPr>
        <sz val="10"/>
        <color theme="1"/>
        <rFont val="Calibri"/>
        <family val="2"/>
        <scheme val="minor"/>
      </rPr>
      <t>J81</t>
    </r>
  </si>
  <si>
    <r>
      <t xml:space="preserve">Comment: </t>
    </r>
    <r>
      <rPr>
        <sz val="10"/>
        <color theme="1"/>
        <rFont val="Calibri"/>
        <family val="2"/>
        <scheme val="minor"/>
      </rPr>
      <t>The insulation on the piping is in disrepair, loose, or missing.</t>
    </r>
  </si>
  <si>
    <r>
      <t xml:space="preserve">Cell: </t>
    </r>
    <r>
      <rPr>
        <sz val="10"/>
        <color theme="1"/>
        <rFont val="Calibri"/>
        <family val="2"/>
        <scheme val="minor"/>
      </rPr>
      <t>N81</t>
    </r>
  </si>
  <si>
    <r>
      <t xml:space="preserve">Comment: </t>
    </r>
    <r>
      <rPr>
        <sz val="10"/>
        <color theme="1"/>
        <rFont val="Calibri"/>
        <family val="2"/>
        <scheme val="minor"/>
      </rPr>
      <t>The risers are worn, damaged, or clogged beyond repair. Replacement includes the piping, insulation, and valves</t>
    </r>
  </si>
  <si>
    <r>
      <t xml:space="preserve">Cell: </t>
    </r>
    <r>
      <rPr>
        <sz val="10"/>
        <color theme="1"/>
        <rFont val="Calibri"/>
        <family val="2"/>
        <scheme val="minor"/>
      </rPr>
      <t>H82</t>
    </r>
  </si>
  <si>
    <r>
      <t xml:space="preserve">Comment: </t>
    </r>
    <r>
      <rPr>
        <sz val="10"/>
        <color theme="1"/>
        <rFont val="Calibri"/>
        <family val="2"/>
        <scheme val="minor"/>
      </rPr>
      <t>In some areas, there are back ups requiring the replacement of the broken floor or wall, clean outs, routing and cleaning the problem areas, and snaking floor drains</t>
    </r>
  </si>
  <si>
    <r>
      <t xml:space="preserve">Cell: </t>
    </r>
    <r>
      <rPr>
        <sz val="10"/>
        <color theme="1"/>
        <rFont val="Calibri"/>
        <family val="2"/>
        <scheme val="minor"/>
      </rPr>
      <t>N82</t>
    </r>
  </si>
  <si>
    <r>
      <t xml:space="preserve">Comment: </t>
    </r>
    <r>
      <rPr>
        <sz val="10"/>
        <color theme="1"/>
        <rFont val="Calibri"/>
        <family val="2"/>
        <scheme val="minor"/>
      </rPr>
      <t>The runs and risers are deteriorated, displaced, or have systemic leaks and requires full replacement</t>
    </r>
  </si>
  <si>
    <r>
      <t xml:space="preserve">Cell: </t>
    </r>
    <r>
      <rPr>
        <sz val="10"/>
        <color theme="1"/>
        <rFont val="Calibri"/>
        <family val="2"/>
        <scheme val="minor"/>
      </rPr>
      <t>C83</t>
    </r>
  </si>
  <si>
    <r>
      <t xml:space="preserve">Comment: </t>
    </r>
    <r>
      <rPr>
        <sz val="10"/>
        <color theme="1"/>
        <rFont val="Calibri"/>
        <family val="2"/>
        <scheme val="minor"/>
      </rPr>
      <t>This is for the presence of interior rain drains; note building percentage based on area of roof served ‐ excludes external downspouts</t>
    </r>
  </si>
  <si>
    <r>
      <t xml:space="preserve">Cell: </t>
    </r>
    <r>
      <rPr>
        <sz val="10"/>
        <color theme="1"/>
        <rFont val="Calibri"/>
        <family val="2"/>
        <scheme val="minor"/>
      </rPr>
      <t>J83</t>
    </r>
  </si>
  <si>
    <r>
      <t xml:space="preserve">Comment: </t>
    </r>
    <r>
      <rPr>
        <sz val="10"/>
        <color theme="1"/>
        <rFont val="Calibri"/>
        <family val="2"/>
        <scheme val="minor"/>
      </rPr>
      <t>The rain drain or overflow is damaged and needs replacement</t>
    </r>
  </si>
  <si>
    <r>
      <t xml:space="preserve">Cell: </t>
    </r>
    <r>
      <rPr>
        <sz val="10"/>
        <color theme="1"/>
        <rFont val="Calibri"/>
        <family val="2"/>
        <scheme val="minor"/>
      </rPr>
      <t>N83</t>
    </r>
  </si>
  <si>
    <r>
      <t xml:space="preserve">Comment: </t>
    </r>
    <r>
      <rPr>
        <sz val="10"/>
        <color theme="1"/>
        <rFont val="Calibri"/>
        <family val="2"/>
        <scheme val="minor"/>
      </rPr>
      <t>The integrity of the piping is compromised and is leaking inside the walls</t>
    </r>
  </si>
  <si>
    <r>
      <t xml:space="preserve">Cell: </t>
    </r>
    <r>
      <rPr>
        <sz val="10"/>
        <color theme="1"/>
        <rFont val="Calibri"/>
        <family val="2"/>
        <scheme val="minor"/>
      </rPr>
      <t>C86</t>
    </r>
  </si>
  <si>
    <r>
      <t xml:space="preserve">Comment: </t>
    </r>
    <r>
      <rPr>
        <sz val="10"/>
        <color theme="1"/>
        <rFont val="Calibri"/>
        <family val="2"/>
        <scheme val="minor"/>
      </rPr>
      <t>This assumes gas piping</t>
    </r>
  </si>
  <si>
    <r>
      <t xml:space="preserve">Cell: </t>
    </r>
    <r>
      <rPr>
        <sz val="10"/>
        <color theme="1"/>
        <rFont val="Calibri"/>
        <family val="2"/>
        <scheme val="minor"/>
      </rPr>
      <t>H86</t>
    </r>
  </si>
  <si>
    <r>
      <t xml:space="preserve">Comment: </t>
    </r>
    <r>
      <rPr>
        <sz val="10"/>
        <color theme="1"/>
        <rFont val="Calibri"/>
        <family val="2"/>
        <scheme val="minor"/>
      </rPr>
      <t>The valve stems, riser gate valves, and temperature probes need to be repaired or replaced.</t>
    </r>
  </si>
  <si>
    <r>
      <t xml:space="preserve">Cell: </t>
    </r>
    <r>
      <rPr>
        <sz val="10"/>
        <color theme="1"/>
        <rFont val="Calibri"/>
        <family val="2"/>
        <scheme val="minor"/>
      </rPr>
      <t>N86</t>
    </r>
  </si>
  <si>
    <r>
      <t xml:space="preserve">Cell: </t>
    </r>
    <r>
      <rPr>
        <sz val="10"/>
        <color theme="1"/>
        <rFont val="Calibri"/>
        <family val="2"/>
        <scheme val="minor"/>
      </rPr>
      <t>H87</t>
    </r>
  </si>
  <si>
    <r>
      <t xml:space="preserve">Comment: </t>
    </r>
    <r>
      <rPr>
        <sz val="10"/>
        <color theme="1"/>
        <rFont val="Calibri"/>
        <family val="2"/>
        <scheme val="minor"/>
      </rPr>
      <t>The burner is inefficient and requires refurbishment</t>
    </r>
  </si>
  <si>
    <r>
      <t xml:space="preserve">Cell: </t>
    </r>
    <r>
      <rPr>
        <sz val="10"/>
        <color theme="1"/>
        <rFont val="Calibri"/>
        <family val="2"/>
        <scheme val="minor"/>
      </rPr>
      <t>J87</t>
    </r>
  </si>
  <si>
    <r>
      <t xml:space="preserve">Comment: </t>
    </r>
    <r>
      <rPr>
        <sz val="10"/>
        <color theme="1"/>
        <rFont val="Calibri"/>
        <family val="2"/>
        <scheme val="minor"/>
      </rPr>
      <t>One major component needs to be replaced</t>
    </r>
  </si>
  <si>
    <r>
      <t xml:space="preserve">Cell: </t>
    </r>
    <r>
      <rPr>
        <sz val="10"/>
        <color theme="1"/>
        <rFont val="Calibri"/>
        <family val="2"/>
        <scheme val="minor"/>
      </rPr>
      <t>L87</t>
    </r>
  </si>
  <si>
    <r>
      <t xml:space="preserve">Comment: </t>
    </r>
    <r>
      <rPr>
        <sz val="10"/>
        <color theme="1"/>
        <rFont val="Calibri"/>
        <family val="2"/>
        <scheme val="minor"/>
      </rPr>
      <t>More than one major component needs to be replaced</t>
    </r>
  </si>
  <si>
    <r>
      <t xml:space="preserve">Cell: </t>
    </r>
    <r>
      <rPr>
        <sz val="10"/>
        <color theme="1"/>
        <rFont val="Calibri"/>
        <family val="2"/>
        <scheme val="minor"/>
      </rPr>
      <t>N87</t>
    </r>
  </si>
  <si>
    <r>
      <t xml:space="preserve">Comment: </t>
    </r>
    <r>
      <rPr>
        <sz val="10"/>
        <color theme="1"/>
        <rFont val="Calibri"/>
        <family val="2"/>
        <scheme val="minor"/>
      </rPr>
      <t>The system is in failure</t>
    </r>
  </si>
  <si>
    <r>
      <t xml:space="preserve">Cell: </t>
    </r>
    <r>
      <rPr>
        <sz val="10"/>
        <color theme="1"/>
        <rFont val="Calibri"/>
        <family val="2"/>
        <scheme val="minor"/>
      </rPr>
      <t>L88</t>
    </r>
  </si>
  <si>
    <r>
      <t xml:space="preserve">Comment: </t>
    </r>
    <r>
      <rPr>
        <sz val="10"/>
        <color theme="1"/>
        <rFont val="Calibri"/>
        <family val="2"/>
        <scheme val="minor"/>
      </rPr>
      <t>Some of the distribution fans and coils are dysfunctional.</t>
    </r>
  </si>
  <si>
    <r>
      <t xml:space="preserve">Cell: </t>
    </r>
    <r>
      <rPr>
        <sz val="10"/>
        <color theme="1"/>
        <rFont val="Calibri"/>
        <family val="2"/>
        <scheme val="minor"/>
      </rPr>
      <t>N88</t>
    </r>
  </si>
  <si>
    <r>
      <t xml:space="preserve">Comment: </t>
    </r>
    <r>
      <rPr>
        <sz val="10"/>
        <color theme="1"/>
        <rFont val="Calibri"/>
        <family val="2"/>
        <scheme val="minor"/>
      </rPr>
      <t>The majority of the distribution fans or coils are dysfunctional and the primary unit is in a state of disrepair</t>
    </r>
  </si>
  <si>
    <r>
      <t xml:space="preserve">Cell: </t>
    </r>
    <r>
      <rPr>
        <sz val="10"/>
        <color theme="1"/>
        <rFont val="Calibri"/>
        <family val="2"/>
        <scheme val="minor"/>
      </rPr>
      <t>J89</t>
    </r>
  </si>
  <si>
    <r>
      <t xml:space="preserve">Comment: </t>
    </r>
    <r>
      <rPr>
        <sz val="10"/>
        <color theme="1"/>
        <rFont val="Calibri"/>
        <family val="2"/>
        <scheme val="minor"/>
      </rPr>
      <t>A small number of minor parts need to be repaired or replaced</t>
    </r>
  </si>
  <si>
    <r>
      <t xml:space="preserve">Cell: </t>
    </r>
    <r>
      <rPr>
        <sz val="10"/>
        <color theme="1"/>
        <rFont val="Calibri"/>
        <family val="2"/>
        <scheme val="minor"/>
      </rPr>
      <t>L89</t>
    </r>
  </si>
  <si>
    <r>
      <t xml:space="preserve">Comment: </t>
    </r>
    <r>
      <rPr>
        <sz val="10"/>
        <color theme="1"/>
        <rFont val="Calibri"/>
        <family val="2"/>
        <scheme val="minor"/>
      </rPr>
      <t>The burner, combustion chamber, or fan are faulty and require replacement</t>
    </r>
  </si>
  <si>
    <r>
      <t xml:space="preserve">Cell: </t>
    </r>
    <r>
      <rPr>
        <sz val="10"/>
        <color theme="1"/>
        <rFont val="Calibri"/>
        <family val="2"/>
        <scheme val="minor"/>
      </rPr>
      <t>N89</t>
    </r>
  </si>
  <si>
    <r>
      <t xml:space="preserve">Comment: </t>
    </r>
    <r>
      <rPr>
        <sz val="10"/>
        <color theme="1"/>
        <rFont val="Calibri"/>
        <family val="2"/>
        <scheme val="minor"/>
      </rPr>
      <t>The entire furnace requires replacement</t>
    </r>
  </si>
  <si>
    <r>
      <t xml:space="preserve">Cell: </t>
    </r>
    <r>
      <rPr>
        <sz val="10"/>
        <color theme="1"/>
        <rFont val="Calibri"/>
        <family val="2"/>
        <scheme val="minor"/>
      </rPr>
      <t>J90</t>
    </r>
  </si>
  <si>
    <r>
      <t xml:space="preserve">Cell: </t>
    </r>
    <r>
      <rPr>
        <sz val="10"/>
        <color theme="1"/>
        <rFont val="Calibri"/>
        <family val="2"/>
        <scheme val="minor"/>
      </rPr>
      <t>L90</t>
    </r>
  </si>
  <si>
    <r>
      <t xml:space="preserve">Comment: </t>
    </r>
    <r>
      <rPr>
        <sz val="10"/>
        <color theme="1"/>
        <rFont val="Calibri"/>
        <family val="2"/>
        <scheme val="minor"/>
      </rPr>
      <t>System operating at low efficiency; shell exhibits corrosion. Retube heat exchanger</t>
    </r>
  </si>
  <si>
    <r>
      <t xml:space="preserve">Cell: </t>
    </r>
    <r>
      <rPr>
        <sz val="10"/>
        <color theme="1"/>
        <rFont val="Calibri"/>
        <family val="2"/>
        <scheme val="minor"/>
      </rPr>
      <t>N90</t>
    </r>
  </si>
  <si>
    <r>
      <t xml:space="preserve">Comment: </t>
    </r>
    <r>
      <rPr>
        <sz val="10"/>
        <color theme="1"/>
        <rFont val="Calibri"/>
        <family val="2"/>
        <scheme val="minor"/>
      </rPr>
      <t>System operates at low efficiency with corrosion and leaks apparent. Replace system</t>
    </r>
  </si>
  <si>
    <r>
      <t xml:space="preserve">Cell: </t>
    </r>
    <r>
      <rPr>
        <sz val="10"/>
        <color theme="1"/>
        <rFont val="Calibri"/>
        <family val="2"/>
        <scheme val="minor"/>
      </rPr>
      <t>L91</t>
    </r>
  </si>
  <si>
    <r>
      <t xml:space="preserve">Cell: </t>
    </r>
    <r>
      <rPr>
        <sz val="10"/>
        <color theme="1"/>
        <rFont val="Calibri"/>
        <family val="2"/>
        <scheme val="minor"/>
      </rPr>
      <t>N91</t>
    </r>
  </si>
  <si>
    <r>
      <t xml:space="preserve">Cell: </t>
    </r>
    <r>
      <rPr>
        <sz val="10"/>
        <color theme="1"/>
        <rFont val="Calibri"/>
        <family val="2"/>
        <scheme val="minor"/>
      </rPr>
      <t>N92</t>
    </r>
  </si>
  <si>
    <r>
      <t xml:space="preserve">Comment: </t>
    </r>
    <r>
      <rPr>
        <sz val="10"/>
        <color theme="1"/>
        <rFont val="Calibri"/>
        <family val="2"/>
        <scheme val="minor"/>
      </rPr>
      <t>The chiller is beyond economic repair</t>
    </r>
  </si>
  <si>
    <r>
      <t xml:space="preserve">Cell: </t>
    </r>
    <r>
      <rPr>
        <sz val="10"/>
        <color theme="1"/>
        <rFont val="Calibri"/>
        <family val="2"/>
        <scheme val="minor"/>
      </rPr>
      <t>J93</t>
    </r>
  </si>
  <si>
    <r>
      <t xml:space="preserve">Comment: </t>
    </r>
    <r>
      <rPr>
        <sz val="10"/>
        <color theme="1"/>
        <rFont val="Calibri"/>
        <family val="2"/>
        <scheme val="minor"/>
      </rPr>
      <t>Dampers in the system are inoperative</t>
    </r>
  </si>
  <si>
    <r>
      <t xml:space="preserve">Cell: </t>
    </r>
    <r>
      <rPr>
        <sz val="10"/>
        <color theme="1"/>
        <rFont val="Calibri"/>
        <family val="2"/>
        <scheme val="minor"/>
      </rPr>
      <t>L93</t>
    </r>
  </si>
  <si>
    <r>
      <t xml:space="preserve">Comment: </t>
    </r>
    <r>
      <rPr>
        <sz val="10"/>
        <color theme="1"/>
        <rFont val="Calibri"/>
        <family val="2"/>
        <scheme val="minor"/>
      </rPr>
      <t>The insulation is damaged or missing</t>
    </r>
  </si>
  <si>
    <r>
      <t xml:space="preserve">Cell: </t>
    </r>
    <r>
      <rPr>
        <sz val="10"/>
        <color theme="1"/>
        <rFont val="Calibri"/>
        <family val="2"/>
        <scheme val="minor"/>
      </rPr>
      <t>N93</t>
    </r>
  </si>
  <si>
    <r>
      <t xml:space="preserve">Comment: </t>
    </r>
    <r>
      <rPr>
        <sz val="10"/>
        <color theme="1"/>
        <rFont val="Calibri"/>
        <family val="2"/>
        <scheme val="minor"/>
      </rPr>
      <t>The ductwork is damaged or inadequately designed and requires replacement</t>
    </r>
  </si>
  <si>
    <r>
      <t xml:space="preserve">Cell: </t>
    </r>
    <r>
      <rPr>
        <sz val="10"/>
        <color theme="1"/>
        <rFont val="Calibri"/>
        <family val="2"/>
        <scheme val="minor"/>
      </rPr>
      <t>H94</t>
    </r>
  </si>
  <si>
    <r>
      <t xml:space="preserve">Cell: </t>
    </r>
    <r>
      <rPr>
        <sz val="10"/>
        <color theme="1"/>
        <rFont val="Calibri"/>
        <family val="2"/>
        <scheme val="minor"/>
      </rPr>
      <t>J94</t>
    </r>
  </si>
  <si>
    <r>
      <t xml:space="preserve">Cell: </t>
    </r>
    <r>
      <rPr>
        <sz val="10"/>
        <color theme="1"/>
        <rFont val="Calibri"/>
        <family val="2"/>
        <scheme val="minor"/>
      </rPr>
      <t>N94</t>
    </r>
  </si>
  <si>
    <r>
      <t xml:space="preserve">Cell: </t>
    </r>
    <r>
      <rPr>
        <sz val="10"/>
        <color theme="1"/>
        <rFont val="Calibri"/>
        <family val="2"/>
        <scheme val="minor"/>
      </rPr>
      <t>N95</t>
    </r>
  </si>
  <si>
    <r>
      <t xml:space="preserve">Comment: </t>
    </r>
    <r>
      <rPr>
        <sz val="10"/>
        <color theme="1"/>
        <rFont val="Calibri"/>
        <family val="2"/>
        <scheme val="minor"/>
      </rPr>
      <t>Entire unit is failing to function</t>
    </r>
  </si>
  <si>
    <r>
      <t xml:space="preserve">Cell: </t>
    </r>
    <r>
      <rPr>
        <sz val="10"/>
        <color theme="1"/>
        <rFont val="Calibri"/>
        <family val="2"/>
        <scheme val="minor"/>
      </rPr>
      <t>J96</t>
    </r>
  </si>
  <si>
    <r>
      <t xml:space="preserve">Comment: </t>
    </r>
    <r>
      <rPr>
        <sz val="10"/>
        <color theme="1"/>
        <rFont val="Calibri"/>
        <family val="2"/>
        <scheme val="minor"/>
      </rPr>
      <t>Internal compressor is bad and requires replacement</t>
    </r>
  </si>
  <si>
    <r>
      <t xml:space="preserve">Cell: </t>
    </r>
    <r>
      <rPr>
        <sz val="10"/>
        <color theme="1"/>
        <rFont val="Calibri"/>
        <family val="2"/>
        <scheme val="minor"/>
      </rPr>
      <t>N96</t>
    </r>
  </si>
  <si>
    <r>
      <t xml:space="preserve">Cell: </t>
    </r>
    <r>
      <rPr>
        <sz val="10"/>
        <color theme="1"/>
        <rFont val="Calibri"/>
        <family val="2"/>
        <scheme val="minor"/>
      </rPr>
      <t>H97</t>
    </r>
  </si>
  <si>
    <r>
      <t xml:space="preserve">Comment: </t>
    </r>
    <r>
      <rPr>
        <sz val="10"/>
        <color theme="1"/>
        <rFont val="Calibri"/>
        <family val="2"/>
        <scheme val="minor"/>
      </rPr>
      <t>In‐room valve is failing and requires replacement</t>
    </r>
  </si>
  <si>
    <r>
      <t xml:space="preserve">Cell: </t>
    </r>
    <r>
      <rPr>
        <sz val="10"/>
        <color theme="1"/>
        <rFont val="Calibri"/>
        <family val="2"/>
        <scheme val="minor"/>
      </rPr>
      <t>N97</t>
    </r>
  </si>
  <si>
    <r>
      <t xml:space="preserve">Cell: </t>
    </r>
    <r>
      <rPr>
        <sz val="10"/>
        <color theme="1"/>
        <rFont val="Calibri"/>
        <family val="2"/>
        <scheme val="minor"/>
      </rPr>
      <t>L98</t>
    </r>
  </si>
  <si>
    <r>
      <t xml:space="preserve">Comment: </t>
    </r>
    <r>
      <rPr>
        <sz val="10"/>
        <color theme="1"/>
        <rFont val="Calibri"/>
        <family val="2"/>
        <scheme val="minor"/>
      </rPr>
      <t>Some of the sensors or valve actuators are dysfunctional.  Replace these sensors or actuators</t>
    </r>
  </si>
  <si>
    <r>
      <t xml:space="preserve">Cell: </t>
    </r>
    <r>
      <rPr>
        <sz val="10"/>
        <color theme="1"/>
        <rFont val="Calibri"/>
        <family val="2"/>
        <scheme val="minor"/>
      </rPr>
      <t>N98</t>
    </r>
  </si>
  <si>
    <r>
      <t xml:space="preserve">Comment: </t>
    </r>
    <r>
      <rPr>
        <sz val="10"/>
        <color theme="1"/>
        <rFont val="Calibri"/>
        <family val="2"/>
        <scheme val="minor"/>
      </rPr>
      <t>The majority of sensors or actuators are faulty, and the system software is dysfunctional OR the system is an older / obsolete pneumatic system ‐ replace</t>
    </r>
  </si>
  <si>
    <r>
      <t xml:space="preserve">Cell: </t>
    </r>
    <r>
      <rPr>
        <sz val="10"/>
        <color theme="1"/>
        <rFont val="Calibri"/>
        <family val="2"/>
        <scheme val="minor"/>
      </rPr>
      <t>N99</t>
    </r>
  </si>
  <si>
    <r>
      <t xml:space="preserve">Comment: </t>
    </r>
    <r>
      <rPr>
        <sz val="10"/>
        <color theme="1"/>
        <rFont val="Calibri"/>
        <family val="2"/>
        <scheme val="minor"/>
      </rPr>
      <t>One or more zones require re‐balancing</t>
    </r>
  </si>
  <si>
    <r>
      <t xml:space="preserve">Cell: </t>
    </r>
    <r>
      <rPr>
        <sz val="10"/>
        <color theme="1"/>
        <rFont val="Calibri"/>
        <family val="2"/>
        <scheme val="minor"/>
      </rPr>
      <t>J102</t>
    </r>
  </si>
  <si>
    <r>
      <t xml:space="preserve">Comment: </t>
    </r>
    <r>
      <rPr>
        <sz val="10"/>
        <color theme="1"/>
        <rFont val="Calibri"/>
        <family val="2"/>
        <scheme val="minor"/>
      </rPr>
      <t>Sprinkler heads are inoperable or non‐compliant and need to be replaced</t>
    </r>
  </si>
  <si>
    <r>
      <t xml:space="preserve">Cell: </t>
    </r>
    <r>
      <rPr>
        <sz val="10"/>
        <color theme="1"/>
        <rFont val="Calibri"/>
        <family val="2"/>
        <scheme val="minor"/>
      </rPr>
      <t>N102</t>
    </r>
  </si>
  <si>
    <r>
      <t xml:space="preserve">Comment: </t>
    </r>
    <r>
      <rPr>
        <sz val="10"/>
        <color theme="1"/>
        <rFont val="Calibri"/>
        <family val="2"/>
        <scheme val="minor"/>
      </rPr>
      <t>The piping has deteriorated or clogged or is non‐compliant and needs to be replaced, including heads</t>
    </r>
  </si>
  <si>
    <r>
      <t xml:space="preserve">Cell: </t>
    </r>
    <r>
      <rPr>
        <sz val="10"/>
        <color theme="1"/>
        <rFont val="Calibri"/>
        <family val="2"/>
        <scheme val="minor"/>
      </rPr>
      <t>J103</t>
    </r>
  </si>
  <si>
    <r>
      <t xml:space="preserve">Comment: </t>
    </r>
    <r>
      <rPr>
        <sz val="10"/>
        <color theme="1"/>
        <rFont val="Calibri"/>
        <family val="2"/>
        <scheme val="minor"/>
      </rPr>
      <t>The Siamese twin connection, tamper flow switches, or flow control valves are inoperable and need to be replaced</t>
    </r>
  </si>
  <si>
    <r>
      <t xml:space="preserve">Cell: </t>
    </r>
    <r>
      <rPr>
        <sz val="10"/>
        <color theme="1"/>
        <rFont val="Calibri"/>
        <family val="2"/>
        <scheme val="minor"/>
      </rPr>
      <t>N103</t>
    </r>
  </si>
  <si>
    <r>
      <t xml:space="preserve">Comment: </t>
    </r>
    <r>
      <rPr>
        <sz val="10"/>
        <color theme="1"/>
        <rFont val="Calibri"/>
        <family val="2"/>
        <scheme val="minor"/>
      </rPr>
      <t>The fire pump is beyond repair and needs to be replaced</t>
    </r>
  </si>
  <si>
    <r>
      <t xml:space="preserve">Cell: </t>
    </r>
    <r>
      <rPr>
        <sz val="10"/>
        <color theme="1"/>
        <rFont val="Calibri"/>
        <family val="2"/>
        <scheme val="minor"/>
      </rPr>
      <t>C104</t>
    </r>
  </si>
  <si>
    <r>
      <t xml:space="preserve">Comment: </t>
    </r>
    <r>
      <rPr>
        <sz val="10"/>
        <color theme="1"/>
        <rFont val="Calibri"/>
        <family val="2"/>
        <scheme val="minor"/>
      </rPr>
      <t>Assume chemical extinguishing system</t>
    </r>
  </si>
  <si>
    <r>
      <t xml:space="preserve">Cell: </t>
    </r>
    <r>
      <rPr>
        <sz val="10"/>
        <color theme="1"/>
        <rFont val="Calibri"/>
        <family val="2"/>
        <scheme val="minor"/>
      </rPr>
      <t>J104</t>
    </r>
  </si>
  <si>
    <r>
      <t xml:space="preserve">Comment: </t>
    </r>
    <r>
      <rPr>
        <sz val="10"/>
        <color theme="1"/>
        <rFont val="Calibri"/>
        <family val="2"/>
        <scheme val="minor"/>
      </rPr>
      <t>The back‐up tank has been discharged or lacks pressure and needs to be replaced</t>
    </r>
  </si>
  <si>
    <r>
      <t xml:space="preserve">Cell: </t>
    </r>
    <r>
      <rPr>
        <sz val="10"/>
        <color theme="1"/>
        <rFont val="Calibri"/>
        <family val="2"/>
        <scheme val="minor"/>
      </rPr>
      <t>N104</t>
    </r>
  </si>
  <si>
    <r>
      <t xml:space="preserve">Comment: </t>
    </r>
    <r>
      <rPr>
        <sz val="10"/>
        <color theme="1"/>
        <rFont val="Calibri"/>
        <family val="2"/>
        <scheme val="minor"/>
      </rPr>
      <t>The system is non‐functional or not compliant with the current needs and needs to be replaced</t>
    </r>
  </si>
  <si>
    <r>
      <t xml:space="preserve">Cell: </t>
    </r>
    <r>
      <rPr>
        <sz val="10"/>
        <color theme="1"/>
        <rFont val="Calibri"/>
        <family val="2"/>
        <scheme val="minor"/>
      </rPr>
      <t>J107</t>
    </r>
  </si>
  <si>
    <r>
      <t xml:space="preserve">Comment: </t>
    </r>
    <r>
      <rPr>
        <sz val="10"/>
        <color theme="1"/>
        <rFont val="Calibri"/>
        <family val="2"/>
        <scheme val="minor"/>
      </rPr>
      <t>Wiring has systemic problems or does not meet code and needs to be replaced</t>
    </r>
  </si>
  <si>
    <r>
      <t xml:space="preserve">Cell: </t>
    </r>
    <r>
      <rPr>
        <sz val="10"/>
        <color theme="1"/>
        <rFont val="Calibri"/>
        <family val="2"/>
        <scheme val="minor"/>
      </rPr>
      <t>L107</t>
    </r>
  </si>
  <si>
    <r>
      <t xml:space="preserve">Comment: </t>
    </r>
    <r>
      <rPr>
        <sz val="10"/>
        <color theme="1"/>
        <rFont val="Calibri"/>
        <family val="2"/>
        <scheme val="minor"/>
      </rPr>
      <t>Branch panels are obsolete with replacement breakers difficult to acquire and requires replacement</t>
    </r>
  </si>
  <si>
    <r>
      <t xml:space="preserve">Comment: </t>
    </r>
    <r>
      <rPr>
        <sz val="10"/>
        <color theme="1"/>
        <rFont val="Calibri"/>
        <family val="2"/>
        <scheme val="minor"/>
      </rPr>
      <t>Main switchgear is obsolete or undersized and requires replacement, including service into building</t>
    </r>
  </si>
  <si>
    <r>
      <t xml:space="preserve">Cell: </t>
    </r>
    <r>
      <rPr>
        <sz val="10"/>
        <color theme="1"/>
        <rFont val="Calibri"/>
        <family val="2"/>
        <scheme val="minor"/>
      </rPr>
      <t>L108</t>
    </r>
  </si>
  <si>
    <r>
      <t xml:space="preserve">Comment: </t>
    </r>
    <r>
      <rPr>
        <sz val="10"/>
        <color theme="1"/>
        <rFont val="Calibri"/>
        <family val="2"/>
        <scheme val="minor"/>
      </rPr>
      <t>The lighting fixtures are obsolete or non‐functional and require replacement</t>
    </r>
  </si>
  <si>
    <r>
      <t xml:space="preserve">Cell: </t>
    </r>
    <r>
      <rPr>
        <sz val="10"/>
        <color theme="1"/>
        <rFont val="Calibri"/>
        <family val="2"/>
        <scheme val="minor"/>
      </rPr>
      <t>N108</t>
    </r>
  </si>
  <si>
    <r>
      <t xml:space="preserve">Comment: </t>
    </r>
    <r>
      <rPr>
        <sz val="10"/>
        <color theme="1"/>
        <rFont val="Calibri"/>
        <family val="2"/>
        <scheme val="minor"/>
      </rPr>
      <t>Replacement of fixtures is requiring the replacement of the wiring as well ‐ includes fixtures AND wiring</t>
    </r>
  </si>
  <si>
    <r>
      <t xml:space="preserve">Cell: </t>
    </r>
    <r>
      <rPr>
        <sz val="10"/>
        <color theme="1"/>
        <rFont val="Calibri"/>
        <family val="2"/>
        <scheme val="minor"/>
      </rPr>
      <t>J109</t>
    </r>
  </si>
  <si>
    <r>
      <t xml:space="preserve">Comment: </t>
    </r>
    <r>
      <rPr>
        <sz val="10"/>
        <color theme="1"/>
        <rFont val="Calibri"/>
        <family val="2"/>
        <scheme val="minor"/>
      </rPr>
      <t>There are individual devices that are not functional.</t>
    </r>
  </si>
  <si>
    <r>
      <t xml:space="preserve">Cell: </t>
    </r>
    <r>
      <rPr>
        <sz val="10"/>
        <color theme="1"/>
        <rFont val="Calibri"/>
        <family val="2"/>
        <scheme val="minor"/>
      </rPr>
      <t>L109</t>
    </r>
  </si>
  <si>
    <r>
      <t xml:space="preserve">Comment: </t>
    </r>
    <r>
      <rPr>
        <sz val="10"/>
        <color theme="1"/>
        <rFont val="Calibri"/>
        <family val="2"/>
        <scheme val="minor"/>
      </rPr>
      <t>The master control panel is obsolete or not functional</t>
    </r>
  </si>
  <si>
    <r>
      <t xml:space="preserve">Cell: </t>
    </r>
    <r>
      <rPr>
        <sz val="10"/>
        <color theme="1"/>
        <rFont val="Calibri"/>
        <family val="2"/>
        <scheme val="minor"/>
      </rPr>
      <t>N109</t>
    </r>
  </si>
  <si>
    <r>
      <t xml:space="preserve">Comment: </t>
    </r>
    <r>
      <rPr>
        <sz val="10"/>
        <color theme="1"/>
        <rFont val="Calibri"/>
        <family val="2"/>
        <scheme val="minor"/>
      </rPr>
      <t>The system is obsolete or works intermittently in multiple areas and requires a system replacement</t>
    </r>
  </si>
  <si>
    <r>
      <t xml:space="preserve">Cell: </t>
    </r>
    <r>
      <rPr>
        <sz val="10"/>
        <color theme="1"/>
        <rFont val="Calibri"/>
        <family val="2"/>
        <scheme val="minor"/>
      </rPr>
      <t>J110</t>
    </r>
  </si>
  <si>
    <r>
      <t xml:space="preserve">Cell: </t>
    </r>
    <r>
      <rPr>
        <sz val="10"/>
        <color theme="1"/>
        <rFont val="Calibri"/>
        <family val="2"/>
        <scheme val="minor"/>
      </rPr>
      <t>L110</t>
    </r>
  </si>
  <si>
    <r>
      <t xml:space="preserve">Cell: </t>
    </r>
    <r>
      <rPr>
        <sz val="10"/>
        <color theme="1"/>
        <rFont val="Calibri"/>
        <family val="2"/>
        <scheme val="minor"/>
      </rPr>
      <t>N110</t>
    </r>
  </si>
  <si>
    <r>
      <t xml:space="preserve">Cell: </t>
    </r>
    <r>
      <rPr>
        <sz val="10"/>
        <color theme="1"/>
        <rFont val="Calibri"/>
        <family val="2"/>
        <scheme val="minor"/>
      </rPr>
      <t>J111</t>
    </r>
  </si>
  <si>
    <r>
      <t xml:space="preserve">Cell: </t>
    </r>
    <r>
      <rPr>
        <sz val="10"/>
        <color theme="1"/>
        <rFont val="Calibri"/>
        <family val="2"/>
        <scheme val="minor"/>
      </rPr>
      <t>L111</t>
    </r>
  </si>
  <si>
    <r>
      <t xml:space="preserve">Cell: </t>
    </r>
    <r>
      <rPr>
        <sz val="10"/>
        <color theme="1"/>
        <rFont val="Calibri"/>
        <family val="2"/>
        <scheme val="minor"/>
      </rPr>
      <t>N111</t>
    </r>
  </si>
  <si>
    <r>
      <t xml:space="preserve">Cell: </t>
    </r>
    <r>
      <rPr>
        <sz val="10"/>
        <color theme="1"/>
        <rFont val="Calibri"/>
        <family val="2"/>
        <scheme val="minor"/>
      </rPr>
      <t>J112</t>
    </r>
  </si>
  <si>
    <r>
      <t xml:space="preserve">Cell: </t>
    </r>
    <r>
      <rPr>
        <sz val="10"/>
        <color theme="1"/>
        <rFont val="Calibri"/>
        <family val="2"/>
        <scheme val="minor"/>
      </rPr>
      <t>L112</t>
    </r>
  </si>
  <si>
    <r>
      <t xml:space="preserve">Cell: </t>
    </r>
    <r>
      <rPr>
        <sz val="10"/>
        <color theme="1"/>
        <rFont val="Calibri"/>
        <family val="2"/>
        <scheme val="minor"/>
      </rPr>
      <t>N112</t>
    </r>
  </si>
  <si>
    <r>
      <t xml:space="preserve">Cell: </t>
    </r>
    <r>
      <rPr>
        <sz val="10"/>
        <color theme="1"/>
        <rFont val="Calibri"/>
        <family val="2"/>
        <scheme val="minor"/>
      </rPr>
      <t>J113</t>
    </r>
  </si>
  <si>
    <r>
      <t xml:space="preserve">Cell: </t>
    </r>
    <r>
      <rPr>
        <sz val="10"/>
        <color theme="1"/>
        <rFont val="Calibri"/>
        <family val="2"/>
        <scheme val="minor"/>
      </rPr>
      <t>L113</t>
    </r>
  </si>
  <si>
    <r>
      <t xml:space="preserve">Cell: </t>
    </r>
    <r>
      <rPr>
        <sz val="10"/>
        <color theme="1"/>
        <rFont val="Calibri"/>
        <family val="2"/>
        <scheme val="minor"/>
      </rPr>
      <t>N113</t>
    </r>
  </si>
  <si>
    <r>
      <t xml:space="preserve">Cell: </t>
    </r>
    <r>
      <rPr>
        <sz val="10"/>
        <color theme="1"/>
        <rFont val="Calibri"/>
        <family val="2"/>
        <scheme val="minor"/>
      </rPr>
      <t>J114</t>
    </r>
  </si>
  <si>
    <r>
      <t xml:space="preserve">Comment: </t>
    </r>
    <r>
      <rPr>
        <sz val="10"/>
        <color theme="1"/>
        <rFont val="Calibri"/>
        <family val="2"/>
        <scheme val="minor"/>
      </rPr>
      <t>There are individual devices that are not functional or in regular alarm</t>
    </r>
  </si>
  <si>
    <r>
      <t xml:space="preserve">Cell: </t>
    </r>
    <r>
      <rPr>
        <sz val="10"/>
        <color theme="1"/>
        <rFont val="Calibri"/>
        <family val="2"/>
        <scheme val="minor"/>
      </rPr>
      <t>L114</t>
    </r>
  </si>
  <si>
    <r>
      <t xml:space="preserve">Cell: </t>
    </r>
    <r>
      <rPr>
        <sz val="10"/>
        <color theme="1"/>
        <rFont val="Calibri"/>
        <family val="2"/>
        <scheme val="minor"/>
      </rPr>
      <t>N114</t>
    </r>
  </si>
  <si>
    <r>
      <t xml:space="preserve">Comment: </t>
    </r>
    <r>
      <rPr>
        <sz val="10"/>
        <color theme="1"/>
        <rFont val="Calibri"/>
        <family val="2"/>
        <scheme val="minor"/>
      </rPr>
      <t>The entire system is dysfunctional and constantly in trouble mode with areas not fully covered. Remove and replace system</t>
    </r>
  </si>
  <si>
    <r>
      <t xml:space="preserve">Cell: </t>
    </r>
    <r>
      <rPr>
        <sz val="10"/>
        <color theme="1"/>
        <rFont val="Calibri"/>
        <family val="2"/>
        <scheme val="minor"/>
      </rPr>
      <t>H115</t>
    </r>
  </si>
  <si>
    <r>
      <t xml:space="preserve">Comment: </t>
    </r>
    <r>
      <rPr>
        <sz val="10"/>
        <color theme="1"/>
        <rFont val="Calibri"/>
        <family val="2"/>
        <scheme val="minor"/>
      </rPr>
      <t>Individual room sensors are failing and require replacement</t>
    </r>
  </si>
  <si>
    <r>
      <t xml:space="preserve">Cell: </t>
    </r>
    <r>
      <rPr>
        <sz val="10"/>
        <color theme="1"/>
        <rFont val="Calibri"/>
        <family val="2"/>
        <scheme val="minor"/>
      </rPr>
      <t>L115</t>
    </r>
  </si>
  <si>
    <r>
      <t xml:space="preserve">Comment: </t>
    </r>
    <r>
      <rPr>
        <sz val="10"/>
        <color theme="1"/>
        <rFont val="Calibri"/>
        <family val="2"/>
        <scheme val="minor"/>
      </rPr>
      <t>The central control panel and software need upgraded</t>
    </r>
  </si>
  <si>
    <r>
      <t xml:space="preserve">Cell: </t>
    </r>
    <r>
      <rPr>
        <sz val="10"/>
        <color theme="1"/>
        <rFont val="Calibri"/>
        <family val="2"/>
        <scheme val="minor"/>
      </rPr>
      <t>N115</t>
    </r>
  </si>
  <si>
    <r>
      <t xml:space="preserve">Comment: </t>
    </r>
    <r>
      <rPr>
        <sz val="10"/>
        <color theme="1"/>
        <rFont val="Calibri"/>
        <family val="2"/>
        <scheme val="minor"/>
      </rPr>
      <t>The entire system is in failure and requires replacement of sensors, wiring and central panel</t>
    </r>
  </si>
  <si>
    <r>
      <t xml:space="preserve">Cell: </t>
    </r>
    <r>
      <rPr>
        <sz val="10"/>
        <color theme="1"/>
        <rFont val="Calibri"/>
        <family val="2"/>
        <scheme val="minor"/>
      </rPr>
      <t>H120</t>
    </r>
  </si>
  <si>
    <r>
      <t xml:space="preserve">Comment: </t>
    </r>
    <r>
      <rPr>
        <sz val="10"/>
        <color theme="1"/>
        <rFont val="Calibri"/>
        <family val="2"/>
        <scheme val="minor"/>
      </rPr>
      <t>2‐3 pieces of equipment require replacement</t>
    </r>
  </si>
  <si>
    <r>
      <t xml:space="preserve">Cell: </t>
    </r>
    <r>
      <rPr>
        <sz val="10"/>
        <color theme="1"/>
        <rFont val="Calibri"/>
        <family val="2"/>
        <scheme val="minor"/>
      </rPr>
      <t>J120</t>
    </r>
  </si>
  <si>
    <r>
      <t xml:space="preserve">Comment: </t>
    </r>
    <r>
      <rPr>
        <sz val="10"/>
        <color theme="1"/>
        <rFont val="Calibri"/>
        <family val="2"/>
        <scheme val="minor"/>
      </rPr>
      <t>Counters and sinks are not code compliant and require replacement with stainless steel and sink system</t>
    </r>
  </si>
  <si>
    <r>
      <t xml:space="preserve">Cell: </t>
    </r>
    <r>
      <rPr>
        <sz val="10"/>
        <color theme="1"/>
        <rFont val="Calibri"/>
        <family val="2"/>
        <scheme val="minor"/>
      </rPr>
      <t>L120</t>
    </r>
  </si>
  <si>
    <r>
      <t xml:space="preserve">Comment: </t>
    </r>
    <r>
      <rPr>
        <sz val="10"/>
        <color theme="1"/>
        <rFont val="Calibri"/>
        <family val="2"/>
        <scheme val="minor"/>
      </rPr>
      <t>Walk‐in cooler and freezer are not functional or function intermittently and require replacement</t>
    </r>
  </si>
  <si>
    <r>
      <t xml:space="preserve">Cell: </t>
    </r>
    <r>
      <rPr>
        <sz val="10"/>
        <color theme="1"/>
        <rFont val="Calibri"/>
        <family val="2"/>
        <scheme val="minor"/>
      </rPr>
      <t>N120</t>
    </r>
  </si>
  <si>
    <r>
      <t xml:space="preserve">Comment: </t>
    </r>
    <r>
      <rPr>
        <sz val="10"/>
        <color theme="1"/>
        <rFont val="Calibri"/>
        <family val="2"/>
        <scheme val="minor"/>
      </rPr>
      <t>Walk‐ins and kitchen design does not meet current functional requirements or has become obsolete and requires complete replacement as a full prep kitchen</t>
    </r>
  </si>
  <si>
    <r>
      <t xml:space="preserve">Cell: </t>
    </r>
    <r>
      <rPr>
        <sz val="10"/>
        <color theme="1"/>
        <rFont val="Calibri"/>
        <family val="2"/>
        <scheme val="minor"/>
      </rPr>
      <t>H121</t>
    </r>
  </si>
  <si>
    <r>
      <t xml:space="preserve">Cell: </t>
    </r>
    <r>
      <rPr>
        <sz val="10"/>
        <color theme="1"/>
        <rFont val="Calibri"/>
        <family val="2"/>
        <scheme val="minor"/>
      </rPr>
      <t>L121</t>
    </r>
  </si>
  <si>
    <r>
      <t xml:space="preserve">Comment: </t>
    </r>
    <r>
      <rPr>
        <sz val="10"/>
        <color theme="1"/>
        <rFont val="Calibri"/>
        <family val="2"/>
        <scheme val="minor"/>
      </rPr>
      <t>Mechanical and electrical service upgrades are required to meet code and amount of program equipment</t>
    </r>
  </si>
  <si>
    <r>
      <t xml:space="preserve">Cell: </t>
    </r>
    <r>
      <rPr>
        <sz val="10"/>
        <color theme="1"/>
        <rFont val="Calibri"/>
        <family val="2"/>
        <scheme val="minor"/>
      </rPr>
      <t>N121</t>
    </r>
  </si>
  <si>
    <r>
      <t xml:space="preserve">Comment: </t>
    </r>
    <r>
      <rPr>
        <sz val="10"/>
        <color theme="1"/>
        <rFont val="Calibri"/>
        <family val="2"/>
        <scheme val="minor"/>
      </rPr>
      <t>Both mechanical and electrical AND equipment needs replacement to meet program criteria and code</t>
    </r>
  </si>
  <si>
    <r>
      <t xml:space="preserve">Cell: </t>
    </r>
    <r>
      <rPr>
        <sz val="10"/>
        <color theme="1"/>
        <rFont val="Calibri"/>
        <family val="2"/>
        <scheme val="minor"/>
      </rPr>
      <t>J122</t>
    </r>
  </si>
  <si>
    <r>
      <t xml:space="preserve">Comment: </t>
    </r>
    <r>
      <rPr>
        <sz val="10"/>
        <color theme="1"/>
        <rFont val="Calibri"/>
        <family val="2"/>
        <scheme val="minor"/>
      </rPr>
      <t>Room lacking (and needing) eye wash or fume hood</t>
    </r>
  </si>
  <si>
    <r>
      <t xml:space="preserve">Cell: </t>
    </r>
    <r>
      <rPr>
        <sz val="10"/>
        <color theme="1"/>
        <rFont val="Calibri"/>
        <family val="2"/>
        <scheme val="minor"/>
      </rPr>
      <t>L122</t>
    </r>
  </si>
  <si>
    <r>
      <t xml:space="preserve">Comment: </t>
    </r>
    <r>
      <rPr>
        <sz val="10"/>
        <color theme="1"/>
        <rFont val="Calibri"/>
        <family val="2"/>
        <scheme val="minor"/>
      </rPr>
      <t>Sinks are in disrepair and require replacement</t>
    </r>
  </si>
  <si>
    <r>
      <t xml:space="preserve">Comment: </t>
    </r>
    <r>
      <rPr>
        <sz val="10"/>
        <color theme="1"/>
        <rFont val="Calibri"/>
        <family val="2"/>
        <scheme val="minor"/>
      </rPr>
      <t>Work stations need upgrades to meet current program criteria ‐ replace</t>
    </r>
  </si>
  <si>
    <r>
      <t xml:space="preserve">Cell: </t>
    </r>
    <r>
      <rPr>
        <sz val="10"/>
        <color theme="1"/>
        <rFont val="Calibri"/>
        <family val="2"/>
        <scheme val="minor"/>
      </rPr>
      <t>J123</t>
    </r>
  </si>
  <si>
    <r>
      <t xml:space="preserve">Comment: </t>
    </r>
    <r>
      <rPr>
        <sz val="10"/>
        <color theme="1"/>
        <rFont val="Calibri"/>
        <family val="2"/>
        <scheme val="minor"/>
      </rPr>
      <t>Storage units damaged or in disrepair</t>
    </r>
  </si>
  <si>
    <r>
      <t xml:space="preserve">Cell: </t>
    </r>
    <r>
      <rPr>
        <sz val="10"/>
        <color theme="1"/>
        <rFont val="Calibri"/>
        <family val="2"/>
        <scheme val="minor"/>
      </rPr>
      <t>L123</t>
    </r>
  </si>
  <si>
    <r>
      <t xml:space="preserve">Cell: </t>
    </r>
    <r>
      <rPr>
        <sz val="10"/>
        <color theme="1"/>
        <rFont val="Calibri"/>
        <family val="2"/>
        <scheme val="minor"/>
      </rPr>
      <t>N123</t>
    </r>
  </si>
  <si>
    <r>
      <t xml:space="preserve">Cell: </t>
    </r>
    <r>
      <rPr>
        <sz val="10"/>
        <color theme="1"/>
        <rFont val="Calibri"/>
        <family val="2"/>
        <scheme val="minor"/>
      </rPr>
      <t>E124</t>
    </r>
  </si>
  <si>
    <r>
      <t xml:space="preserve">Comment: </t>
    </r>
    <r>
      <rPr>
        <sz val="10"/>
        <color theme="1"/>
        <rFont val="Calibri"/>
        <family val="2"/>
        <scheme val="minor"/>
      </rPr>
      <t>Insert number of seats</t>
    </r>
  </si>
  <si>
    <r>
      <t xml:space="preserve">Cell: </t>
    </r>
    <r>
      <rPr>
        <sz val="10"/>
        <color theme="1"/>
        <rFont val="Calibri"/>
        <family val="2"/>
        <scheme val="minor"/>
      </rPr>
      <t>J124</t>
    </r>
  </si>
  <si>
    <r>
      <t xml:space="preserve">Comment: </t>
    </r>
    <r>
      <rPr>
        <sz val="10"/>
        <color theme="1"/>
        <rFont val="Calibri"/>
        <family val="2"/>
        <scheme val="minor"/>
      </rPr>
      <t>Seats damaged and need replacement OR sound OR lighting system inadequate and needs upgraded</t>
    </r>
  </si>
  <si>
    <r>
      <t xml:space="preserve">Cell: </t>
    </r>
    <r>
      <rPr>
        <sz val="10"/>
        <color theme="1"/>
        <rFont val="Calibri"/>
        <family val="2"/>
        <scheme val="minor"/>
      </rPr>
      <t>L124</t>
    </r>
  </si>
  <si>
    <r>
      <t xml:space="preserve">Comment: </t>
    </r>
    <r>
      <rPr>
        <sz val="10"/>
        <color theme="1"/>
        <rFont val="Calibri"/>
        <family val="2"/>
        <scheme val="minor"/>
      </rPr>
      <t>Fly rigging in disrepair and needs upgrading</t>
    </r>
  </si>
  <si>
    <r>
      <t xml:space="preserve">Cell: </t>
    </r>
    <r>
      <rPr>
        <sz val="10"/>
        <color theme="1"/>
        <rFont val="Calibri"/>
        <family val="2"/>
        <scheme val="minor"/>
      </rPr>
      <t>N124</t>
    </r>
  </si>
  <si>
    <r>
      <t xml:space="preserve">Comment: </t>
    </r>
    <r>
      <rPr>
        <sz val="10"/>
        <color theme="1"/>
        <rFont val="Calibri"/>
        <family val="2"/>
        <scheme val="minor"/>
      </rPr>
      <t>2 or more stage system dysfunctional and needs upgrade / replacement to production systems</t>
    </r>
  </si>
  <si>
    <r>
      <t xml:space="preserve">Cell: </t>
    </r>
    <r>
      <rPr>
        <sz val="10"/>
        <color theme="1"/>
        <rFont val="Calibri"/>
        <family val="2"/>
        <scheme val="minor"/>
      </rPr>
      <t>H125</t>
    </r>
  </si>
  <si>
    <r>
      <t xml:space="preserve">Comment: </t>
    </r>
    <r>
      <rPr>
        <sz val="10"/>
        <color theme="1"/>
        <rFont val="Calibri"/>
        <family val="2"/>
        <scheme val="minor"/>
      </rPr>
      <t>An accessory is damaged or missing</t>
    </r>
  </si>
  <si>
    <r>
      <t xml:space="preserve">Cell: </t>
    </r>
    <r>
      <rPr>
        <sz val="10"/>
        <color theme="1"/>
        <rFont val="Calibri"/>
        <family val="2"/>
        <scheme val="minor"/>
      </rPr>
      <t>J125</t>
    </r>
  </si>
  <si>
    <r>
      <t xml:space="preserve">Comment: </t>
    </r>
    <r>
      <rPr>
        <sz val="10"/>
        <color theme="1"/>
        <rFont val="Calibri"/>
        <family val="2"/>
        <scheme val="minor"/>
      </rPr>
      <t>Accessories need to be replaced to meet ADA</t>
    </r>
  </si>
  <si>
    <r>
      <t xml:space="preserve">Cell: </t>
    </r>
    <r>
      <rPr>
        <sz val="10"/>
        <color theme="1"/>
        <rFont val="Calibri"/>
        <family val="2"/>
        <scheme val="minor"/>
      </rPr>
      <t>L125</t>
    </r>
  </si>
  <si>
    <r>
      <t xml:space="preserve">Comment: </t>
    </r>
    <r>
      <rPr>
        <sz val="10"/>
        <color theme="1"/>
        <rFont val="Calibri"/>
        <family val="2"/>
        <scheme val="minor"/>
      </rPr>
      <t>The stall doors are not functional or missing and need to be replaced</t>
    </r>
  </si>
  <si>
    <r>
      <t xml:space="preserve">Cell: </t>
    </r>
    <r>
      <rPr>
        <sz val="10"/>
        <color theme="1"/>
        <rFont val="Calibri"/>
        <family val="2"/>
        <scheme val="minor"/>
      </rPr>
      <t>N125</t>
    </r>
  </si>
  <si>
    <r>
      <t xml:space="preserve">Comment: </t>
    </r>
    <r>
      <rPr>
        <sz val="10"/>
        <color theme="1"/>
        <rFont val="Calibri"/>
        <family val="2"/>
        <scheme val="minor"/>
      </rPr>
      <t>The restrooms stall structure is failing or needs re‐configuration and needs to be replaced</t>
    </r>
  </si>
  <si>
    <r>
      <t xml:space="preserve">Cell: </t>
    </r>
    <r>
      <rPr>
        <sz val="10"/>
        <color theme="1"/>
        <rFont val="Calibri"/>
        <family val="2"/>
        <scheme val="minor"/>
      </rPr>
      <t>D126</t>
    </r>
  </si>
  <si>
    <r>
      <t xml:space="preserve">Comment: </t>
    </r>
    <r>
      <rPr>
        <sz val="10"/>
        <color theme="1"/>
        <rFont val="Calibri"/>
        <family val="2"/>
        <scheme val="minor"/>
      </rPr>
      <t>Note anything specific in the "Other" category at the bottom of the assessment form</t>
    </r>
  </si>
  <si>
    <r>
      <t xml:space="preserve">Cell: </t>
    </r>
    <r>
      <rPr>
        <sz val="10"/>
        <color theme="1"/>
        <rFont val="Calibri"/>
        <family val="2"/>
        <scheme val="minor"/>
      </rPr>
      <t>C129</t>
    </r>
  </si>
  <si>
    <r>
      <t xml:space="preserve">Comment: </t>
    </r>
    <r>
      <rPr>
        <sz val="10"/>
        <color theme="1"/>
        <rFont val="Calibri"/>
        <family val="2"/>
        <scheme val="minor"/>
      </rPr>
      <t>Assume fixed casework (counters, cabinets, shelving, etc.)</t>
    </r>
  </si>
  <si>
    <r>
      <t xml:space="preserve">Cell: </t>
    </r>
    <r>
      <rPr>
        <sz val="10"/>
        <color theme="1"/>
        <rFont val="Calibri"/>
        <family val="2"/>
        <scheme val="minor"/>
      </rPr>
      <t>H129</t>
    </r>
  </si>
  <si>
    <r>
      <t xml:space="preserve">Comment: </t>
    </r>
    <r>
      <rPr>
        <sz val="10"/>
        <color theme="1"/>
        <rFont val="Calibri"/>
        <family val="2"/>
        <scheme val="minor"/>
      </rPr>
      <t>The counter top or exposed surface has been damaged and can be refinished</t>
    </r>
  </si>
  <si>
    <r>
      <t xml:space="preserve">Cell: </t>
    </r>
    <r>
      <rPr>
        <sz val="10"/>
        <color theme="1"/>
        <rFont val="Calibri"/>
        <family val="2"/>
        <scheme val="minor"/>
      </rPr>
      <t>J129</t>
    </r>
  </si>
  <si>
    <r>
      <t xml:space="preserve">Comment: </t>
    </r>
    <r>
      <rPr>
        <sz val="10"/>
        <color theme="1"/>
        <rFont val="Calibri"/>
        <family val="2"/>
        <scheme val="minor"/>
      </rPr>
      <t>The drawers and/or doors are damaged and require replacement including hardware</t>
    </r>
  </si>
  <si>
    <r>
      <t xml:space="preserve">Cell: </t>
    </r>
    <r>
      <rPr>
        <sz val="10"/>
        <color theme="1"/>
        <rFont val="Calibri"/>
        <family val="2"/>
        <scheme val="minor"/>
      </rPr>
      <t>L129</t>
    </r>
  </si>
  <si>
    <r>
      <t xml:space="preserve">Comment: </t>
    </r>
    <r>
      <rPr>
        <sz val="10"/>
        <color theme="1"/>
        <rFont val="Calibri"/>
        <family val="2"/>
        <scheme val="minor"/>
      </rPr>
      <t>A combination of minor and moderate action is required, but the box is still salvageable</t>
    </r>
  </si>
  <si>
    <r>
      <t xml:space="preserve">Cell: </t>
    </r>
    <r>
      <rPr>
        <sz val="10"/>
        <color theme="1"/>
        <rFont val="Calibri"/>
        <family val="2"/>
        <scheme val="minor"/>
      </rPr>
      <t>N129</t>
    </r>
  </si>
  <si>
    <r>
      <t xml:space="preserve">Comment: </t>
    </r>
    <r>
      <rPr>
        <sz val="10"/>
        <color theme="1"/>
        <rFont val="Calibri"/>
        <family val="2"/>
        <scheme val="minor"/>
      </rPr>
      <t>The casework is severely damaged throughout or is obsolete for the purposes of the space and needs to be replaced</t>
    </r>
  </si>
  <si>
    <r>
      <t xml:space="preserve">Cell: </t>
    </r>
    <r>
      <rPr>
        <sz val="10"/>
        <color theme="1"/>
        <rFont val="Calibri"/>
        <family val="2"/>
        <scheme val="minor"/>
      </rPr>
      <t>C130</t>
    </r>
  </si>
  <si>
    <r>
      <t xml:space="preserve">Comment: </t>
    </r>
    <r>
      <rPr>
        <sz val="10"/>
        <color theme="1"/>
        <rFont val="Calibri"/>
        <family val="2"/>
        <scheme val="minor"/>
      </rPr>
      <t>Assume loose furnishings (desks, chairs, tables, etc.)</t>
    </r>
  </si>
  <si>
    <r>
      <t xml:space="preserve">Cell: </t>
    </r>
    <r>
      <rPr>
        <sz val="10"/>
        <color theme="1"/>
        <rFont val="Calibri"/>
        <family val="2"/>
        <scheme val="minor"/>
      </rPr>
      <t>N130</t>
    </r>
  </si>
  <si>
    <r>
      <t xml:space="preserve">Comment: </t>
    </r>
    <r>
      <rPr>
        <sz val="10"/>
        <color theme="1"/>
        <rFont val="Calibri"/>
        <family val="2"/>
        <scheme val="minor"/>
      </rPr>
      <t>The furnishings are severely worn or are inappropriate for the age of students or function of space and require replacement</t>
    </r>
  </si>
  <si>
    <r>
      <t xml:space="preserve">Cell: </t>
    </r>
    <r>
      <rPr>
        <sz val="10"/>
        <color theme="1"/>
        <rFont val="Calibri"/>
        <family val="2"/>
        <scheme val="minor"/>
      </rPr>
      <t>C136</t>
    </r>
  </si>
  <si>
    <r>
      <t xml:space="preserve">Comment: </t>
    </r>
    <r>
      <rPr>
        <sz val="10"/>
        <color theme="1"/>
        <rFont val="Calibri"/>
        <family val="2"/>
        <scheme val="minor"/>
      </rPr>
      <t>Paved only or needs to be paved; Apply to surface area</t>
    </r>
  </si>
  <si>
    <r>
      <t xml:space="preserve">Cell: </t>
    </r>
    <r>
      <rPr>
        <sz val="10"/>
        <color theme="1"/>
        <rFont val="Calibri"/>
        <family val="2"/>
        <scheme val="minor"/>
      </rPr>
      <t>E136</t>
    </r>
  </si>
  <si>
    <r>
      <t xml:space="preserve">Comment: </t>
    </r>
    <r>
      <rPr>
        <sz val="10"/>
        <color theme="1"/>
        <rFont val="Calibri"/>
        <family val="2"/>
        <scheme val="minor"/>
      </rPr>
      <t>Indicate SF of road</t>
    </r>
  </si>
  <si>
    <r>
      <t xml:space="preserve">Cell: </t>
    </r>
    <r>
      <rPr>
        <sz val="10"/>
        <color theme="1"/>
        <rFont val="Calibri"/>
        <family val="2"/>
        <scheme val="minor"/>
      </rPr>
      <t>H136</t>
    </r>
  </si>
  <si>
    <r>
      <t xml:space="preserve">Comment: </t>
    </r>
    <r>
      <rPr>
        <sz val="10"/>
        <color theme="1"/>
        <rFont val="Calibri"/>
        <family val="2"/>
        <scheme val="minor"/>
      </rPr>
      <t>Minor cracking exists and can be resolved with application of a slurry coat</t>
    </r>
  </si>
  <si>
    <r>
      <t xml:space="preserve">Cell: </t>
    </r>
    <r>
      <rPr>
        <sz val="10"/>
        <color theme="1"/>
        <rFont val="Calibri"/>
        <family val="2"/>
        <scheme val="minor"/>
      </rPr>
      <t>L136</t>
    </r>
  </si>
  <si>
    <r>
      <t xml:space="preserve">Comment: </t>
    </r>
    <r>
      <rPr>
        <sz val="10"/>
        <color theme="1"/>
        <rFont val="Calibri"/>
        <family val="2"/>
        <scheme val="minor"/>
      </rPr>
      <t>Surface is alligatoring requiring a section to be removed down to gravel base, replaced, and region slurry coated</t>
    </r>
  </si>
  <si>
    <r>
      <t xml:space="preserve">Cell: </t>
    </r>
    <r>
      <rPr>
        <sz val="10"/>
        <color theme="1"/>
        <rFont val="Calibri"/>
        <family val="2"/>
        <scheme val="minor"/>
      </rPr>
      <t>N136</t>
    </r>
  </si>
  <si>
    <r>
      <t xml:space="preserve">Comment: </t>
    </r>
    <r>
      <rPr>
        <sz val="10"/>
        <color theme="1"/>
        <rFont val="Calibri"/>
        <family val="2"/>
        <scheme val="minor"/>
      </rPr>
      <t>Surface is broken and shows evidence of heaving and/or settlement requiring removal of asphalt and over‐ex of sub‐grade with complete replacement. Where there is only a gravel road and a paved one is needed, this category shall be used</t>
    </r>
  </si>
  <si>
    <r>
      <t xml:space="preserve">Cell: </t>
    </r>
    <r>
      <rPr>
        <sz val="10"/>
        <color theme="1"/>
        <rFont val="Calibri"/>
        <family val="2"/>
        <scheme val="minor"/>
      </rPr>
      <t>C137</t>
    </r>
  </si>
  <si>
    <r>
      <t xml:space="preserve">Cell: </t>
    </r>
    <r>
      <rPr>
        <sz val="10"/>
        <color theme="1"/>
        <rFont val="Calibri"/>
        <family val="2"/>
        <scheme val="minor"/>
      </rPr>
      <t>E137</t>
    </r>
  </si>
  <si>
    <r>
      <t xml:space="preserve">Comment: </t>
    </r>
    <r>
      <rPr>
        <sz val="10"/>
        <color theme="1"/>
        <rFont val="Calibri"/>
        <family val="2"/>
        <scheme val="minor"/>
      </rPr>
      <t>Indicate number of stalls</t>
    </r>
  </si>
  <si>
    <r>
      <t xml:space="preserve">Cell: </t>
    </r>
    <r>
      <rPr>
        <sz val="10"/>
        <color theme="1"/>
        <rFont val="Calibri"/>
        <family val="2"/>
        <scheme val="minor"/>
      </rPr>
      <t>H137</t>
    </r>
  </si>
  <si>
    <r>
      <t xml:space="preserve">Cell: </t>
    </r>
    <r>
      <rPr>
        <sz val="10"/>
        <color theme="1"/>
        <rFont val="Calibri"/>
        <family val="2"/>
        <scheme val="minor"/>
      </rPr>
      <t>L137</t>
    </r>
  </si>
  <si>
    <r>
      <t xml:space="preserve">Cell: </t>
    </r>
    <r>
      <rPr>
        <sz val="10"/>
        <color theme="1"/>
        <rFont val="Calibri"/>
        <family val="2"/>
        <scheme val="minor"/>
      </rPr>
      <t>N137</t>
    </r>
  </si>
  <si>
    <r>
      <t xml:space="preserve">Comment: </t>
    </r>
    <r>
      <rPr>
        <sz val="10"/>
        <color theme="1"/>
        <rFont val="Calibri"/>
        <family val="2"/>
        <scheme val="minor"/>
      </rPr>
      <t>Surface is broken and shows evidence of heaving and/or settlement requiring removal of asphalt and over‐ex of sub‐grade with complete replacement. Where there is only a gravel lot and a paved one is needed, this category shall be used</t>
    </r>
  </si>
  <si>
    <r>
      <t xml:space="preserve">Cell: </t>
    </r>
    <r>
      <rPr>
        <sz val="10"/>
        <color theme="1"/>
        <rFont val="Calibri"/>
        <family val="2"/>
        <scheme val="minor"/>
      </rPr>
      <t>C138</t>
    </r>
  </si>
  <si>
    <r>
      <t xml:space="preserve">Comment: </t>
    </r>
    <r>
      <rPr>
        <sz val="10"/>
        <color theme="1"/>
        <rFont val="Calibri"/>
        <family val="2"/>
        <scheme val="minor"/>
      </rPr>
      <t>Concrete only or needs to be concrete; Apply to surface area</t>
    </r>
  </si>
  <si>
    <r>
      <t xml:space="preserve">Cell: </t>
    </r>
    <r>
      <rPr>
        <sz val="10"/>
        <color theme="1"/>
        <rFont val="Calibri"/>
        <family val="2"/>
        <scheme val="minor"/>
      </rPr>
      <t>E138</t>
    </r>
  </si>
  <si>
    <r>
      <t xml:space="preserve">Comment: </t>
    </r>
    <r>
      <rPr>
        <sz val="10"/>
        <color theme="1"/>
        <rFont val="Calibri"/>
        <family val="2"/>
        <scheme val="minor"/>
      </rPr>
      <t>Indicate square footage of walks and plazas</t>
    </r>
  </si>
  <si>
    <r>
      <t xml:space="preserve">Cell: </t>
    </r>
    <r>
      <rPr>
        <sz val="10"/>
        <color theme="1"/>
        <rFont val="Calibri"/>
        <family val="2"/>
        <scheme val="minor"/>
      </rPr>
      <t>L138</t>
    </r>
  </si>
  <si>
    <r>
      <t xml:space="preserve">Comment: </t>
    </r>
    <r>
      <rPr>
        <sz val="10"/>
        <color theme="1"/>
        <rFont val="Calibri"/>
        <family val="2"/>
        <scheme val="minor"/>
      </rPr>
      <t>Sections are broken with differential settlement requiring the removal of the effected panels and replacement</t>
    </r>
  </si>
  <si>
    <r>
      <t xml:space="preserve">Cell: </t>
    </r>
    <r>
      <rPr>
        <sz val="10"/>
        <color theme="1"/>
        <rFont val="Calibri"/>
        <family val="2"/>
        <scheme val="minor"/>
      </rPr>
      <t>N138</t>
    </r>
  </si>
  <si>
    <r>
      <t xml:space="preserve">Comment: </t>
    </r>
    <r>
      <rPr>
        <sz val="10"/>
        <color theme="1"/>
        <rFont val="Calibri"/>
        <family val="2"/>
        <scheme val="minor"/>
      </rPr>
      <t>Not only are sections of the concrete broken, but there is evidence of settlement surrounding the walk requiring removal through sub‐grade and replacement. Where there is no concrete walk, but one is needed, this category shall be used</t>
    </r>
  </si>
  <si>
    <r>
      <t xml:space="preserve">Cell: </t>
    </r>
    <r>
      <rPr>
        <sz val="10"/>
        <color theme="1"/>
        <rFont val="Calibri"/>
        <family val="2"/>
        <scheme val="minor"/>
      </rPr>
      <t>C139</t>
    </r>
  </si>
  <si>
    <r>
      <t xml:space="preserve">Comment: </t>
    </r>
    <r>
      <rPr>
        <sz val="10"/>
        <color theme="1"/>
        <rFont val="Calibri"/>
        <family val="2"/>
        <scheme val="minor"/>
      </rPr>
      <t>Chain‐link fencing; Apply to LF of fence</t>
    </r>
  </si>
  <si>
    <r>
      <t xml:space="preserve">Cell: </t>
    </r>
    <r>
      <rPr>
        <sz val="10"/>
        <color theme="1"/>
        <rFont val="Calibri"/>
        <family val="2"/>
        <scheme val="minor"/>
      </rPr>
      <t>E139</t>
    </r>
  </si>
  <si>
    <r>
      <t xml:space="preserve">Comment: </t>
    </r>
    <r>
      <rPr>
        <sz val="10"/>
        <color theme="1"/>
        <rFont val="Calibri"/>
        <family val="2"/>
        <scheme val="minor"/>
      </rPr>
      <t>Indicate length of fencing ‐ assuming 6' high chain‐link</t>
    </r>
  </si>
  <si>
    <r>
      <t xml:space="preserve">Cell: </t>
    </r>
    <r>
      <rPr>
        <sz val="10"/>
        <color theme="1"/>
        <rFont val="Calibri"/>
        <family val="2"/>
        <scheme val="minor"/>
      </rPr>
      <t>L139</t>
    </r>
  </si>
  <si>
    <r>
      <t xml:space="preserve">Comment: </t>
    </r>
    <r>
      <rPr>
        <sz val="10"/>
        <color theme="1"/>
        <rFont val="Calibri"/>
        <family val="2"/>
        <scheme val="minor"/>
      </rPr>
      <t>The fence fabric is damaged and needs to be replaced</t>
    </r>
  </si>
  <si>
    <r>
      <t xml:space="preserve">Cell: </t>
    </r>
    <r>
      <rPr>
        <sz val="10"/>
        <color theme="1"/>
        <rFont val="Calibri"/>
        <family val="2"/>
        <scheme val="minor"/>
      </rPr>
      <t>N139</t>
    </r>
  </si>
  <si>
    <r>
      <t xml:space="preserve">Comment: </t>
    </r>
    <r>
      <rPr>
        <sz val="10"/>
        <color theme="1"/>
        <rFont val="Calibri"/>
        <family val="2"/>
        <scheme val="minor"/>
      </rPr>
      <t>The fencing has lost its structural integrity and is beyond repair.</t>
    </r>
  </si>
  <si>
    <r>
      <t xml:space="preserve">Cell: </t>
    </r>
    <r>
      <rPr>
        <sz val="10"/>
        <color theme="1"/>
        <rFont val="Calibri"/>
        <family val="2"/>
        <scheme val="minor"/>
      </rPr>
      <t>C140</t>
    </r>
  </si>
  <si>
    <r>
      <t xml:space="preserve">Comment: </t>
    </r>
    <r>
      <rPr>
        <sz val="10"/>
        <color theme="1"/>
        <rFont val="Calibri"/>
        <family val="2"/>
        <scheme val="minor"/>
      </rPr>
      <t>Irrigation systems.  Other landscape or field items should be included in "Other" category at bottom of assessment form; Apply to landscape area</t>
    </r>
  </si>
  <si>
    <r>
      <t xml:space="preserve">Cell: </t>
    </r>
    <r>
      <rPr>
        <sz val="10"/>
        <color theme="1"/>
        <rFont val="Calibri"/>
        <family val="2"/>
        <scheme val="minor"/>
      </rPr>
      <t>E140</t>
    </r>
  </si>
  <si>
    <r>
      <t xml:space="preserve">Comment: </t>
    </r>
    <r>
      <rPr>
        <sz val="10"/>
        <color theme="1"/>
        <rFont val="Calibri"/>
        <family val="2"/>
        <scheme val="minor"/>
      </rPr>
      <t>Indicate square footage of landscaped area served (including grass areas)</t>
    </r>
  </si>
  <si>
    <r>
      <t xml:space="preserve">Cell: </t>
    </r>
    <r>
      <rPr>
        <sz val="10"/>
        <color theme="1"/>
        <rFont val="Calibri"/>
        <family val="2"/>
        <scheme val="minor"/>
      </rPr>
      <t>N140</t>
    </r>
  </si>
  <si>
    <r>
      <t xml:space="preserve">Comment: </t>
    </r>
    <r>
      <rPr>
        <sz val="10"/>
        <color theme="1"/>
        <rFont val="Calibri"/>
        <family val="2"/>
        <scheme val="minor"/>
      </rPr>
      <t>Irrigation system is dysfunctional and beyond repair</t>
    </r>
  </si>
  <si>
    <r>
      <t xml:space="preserve">Cell: </t>
    </r>
    <r>
      <rPr>
        <sz val="10"/>
        <color theme="1"/>
        <rFont val="Calibri"/>
        <family val="2"/>
        <scheme val="minor"/>
      </rPr>
      <t>D142</t>
    </r>
  </si>
  <si>
    <r>
      <t xml:space="preserve">Comment: </t>
    </r>
    <r>
      <rPr>
        <sz val="10"/>
        <color theme="1"/>
        <rFont val="Calibri"/>
        <family val="2"/>
        <scheme val="minor"/>
      </rPr>
      <t>Assumes 4" line to building. Wells should be placed in "Other" category at bottom of form; Apply to surface area</t>
    </r>
  </si>
  <si>
    <r>
      <t xml:space="preserve">Cell: </t>
    </r>
    <r>
      <rPr>
        <sz val="10"/>
        <color theme="1"/>
        <rFont val="Calibri"/>
        <family val="2"/>
        <scheme val="minor"/>
      </rPr>
      <t>N142</t>
    </r>
  </si>
  <si>
    <r>
      <t xml:space="preserve">Comment: </t>
    </r>
    <r>
      <rPr>
        <sz val="10"/>
        <color theme="1"/>
        <rFont val="Calibri"/>
        <family val="2"/>
        <scheme val="minor"/>
      </rPr>
      <t>A portion of the line has lost its structural integrity and requires replacement</t>
    </r>
  </si>
  <si>
    <r>
      <t xml:space="preserve">Cell: </t>
    </r>
    <r>
      <rPr>
        <sz val="10"/>
        <color theme="1"/>
        <rFont val="Calibri"/>
        <family val="2"/>
        <scheme val="minor"/>
      </rPr>
      <t>D143</t>
    </r>
  </si>
  <si>
    <r>
      <t xml:space="preserve">Comment: </t>
    </r>
    <r>
      <rPr>
        <sz val="10"/>
        <color theme="1"/>
        <rFont val="Calibri"/>
        <family val="2"/>
        <scheme val="minor"/>
      </rPr>
      <t>Assumes 6" line to building. Wells and holding tanks should be placed in "Other" category at bottom of form; Apply to surface area</t>
    </r>
  </si>
  <si>
    <r>
      <t xml:space="preserve">Cell: </t>
    </r>
    <r>
      <rPr>
        <sz val="10"/>
        <color theme="1"/>
        <rFont val="Calibri"/>
        <family val="2"/>
        <scheme val="minor"/>
      </rPr>
      <t>N143</t>
    </r>
  </si>
  <si>
    <r>
      <t xml:space="preserve">Cell: </t>
    </r>
    <r>
      <rPr>
        <sz val="10"/>
        <color theme="1"/>
        <rFont val="Calibri"/>
        <family val="2"/>
        <scheme val="minor"/>
      </rPr>
      <t>C144</t>
    </r>
  </si>
  <si>
    <r>
      <t xml:space="preserve">Comment: </t>
    </r>
    <r>
      <rPr>
        <sz val="10"/>
        <color theme="1"/>
        <rFont val="Calibri"/>
        <family val="2"/>
        <scheme val="minor"/>
      </rPr>
      <t>Lines only.  Septic fields, tanks, etc. should be placed in "other" category at bottom of form; Apply to surface area</t>
    </r>
  </si>
  <si>
    <r>
      <t xml:space="preserve">Cell: </t>
    </r>
    <r>
      <rPr>
        <sz val="10"/>
        <color theme="1"/>
        <rFont val="Calibri"/>
        <family val="2"/>
        <scheme val="minor"/>
      </rPr>
      <t>N144</t>
    </r>
  </si>
  <si>
    <r>
      <t xml:space="preserve">Cell: </t>
    </r>
    <r>
      <rPr>
        <sz val="10"/>
        <color theme="1"/>
        <rFont val="Calibri"/>
        <family val="2"/>
        <scheme val="minor"/>
      </rPr>
      <t>C145</t>
    </r>
  </si>
  <si>
    <r>
      <t xml:space="preserve">Comment: </t>
    </r>
    <r>
      <rPr>
        <sz val="10"/>
        <color theme="1"/>
        <rFont val="Calibri"/>
        <family val="2"/>
        <scheme val="minor"/>
      </rPr>
      <t>Assumes underground system. For surface runoff system, apply to "Other" category at bottom of form; Apply to surface area</t>
    </r>
  </si>
  <si>
    <r>
      <t xml:space="preserve">Cell: </t>
    </r>
    <r>
      <rPr>
        <sz val="10"/>
        <color theme="1"/>
        <rFont val="Calibri"/>
        <family val="2"/>
        <scheme val="minor"/>
      </rPr>
      <t>H145</t>
    </r>
  </si>
  <si>
    <r>
      <t xml:space="preserve">Comment: </t>
    </r>
    <r>
      <rPr>
        <sz val="10"/>
        <color theme="1"/>
        <rFont val="Calibri"/>
        <family val="2"/>
        <scheme val="minor"/>
      </rPr>
      <t>Catch basins have lost their integrity or are out of alignment. Remove catch basin, reset, and realign</t>
    </r>
  </si>
  <si>
    <r>
      <t xml:space="preserve">Cell: </t>
    </r>
    <r>
      <rPr>
        <sz val="10"/>
        <color theme="1"/>
        <rFont val="Calibri"/>
        <family val="2"/>
        <scheme val="minor"/>
      </rPr>
      <t>J145</t>
    </r>
  </si>
  <si>
    <r>
      <t xml:space="preserve">Comment: </t>
    </r>
    <r>
      <rPr>
        <sz val="10"/>
        <color theme="1"/>
        <rFont val="Calibri"/>
        <family val="2"/>
        <scheme val="minor"/>
      </rPr>
      <t>Storm sewer piping is dysfunctional or damaged. Remove and replace.</t>
    </r>
  </si>
  <si>
    <r>
      <t xml:space="preserve">Cell: </t>
    </r>
    <r>
      <rPr>
        <sz val="10"/>
        <color theme="1"/>
        <rFont val="Calibri"/>
        <family val="2"/>
        <scheme val="minor"/>
      </rPr>
      <t>L145</t>
    </r>
  </si>
  <si>
    <r>
      <t xml:space="preserve">Comment: </t>
    </r>
    <r>
      <rPr>
        <sz val="10"/>
        <color theme="1"/>
        <rFont val="Calibri"/>
        <family val="2"/>
        <scheme val="minor"/>
      </rPr>
      <t>Detention/retention has failed, but piping and catch basins are functional. Replace detention  / retention system</t>
    </r>
  </si>
  <si>
    <r>
      <t xml:space="preserve">Cell: </t>
    </r>
    <r>
      <rPr>
        <sz val="10"/>
        <color theme="1"/>
        <rFont val="Calibri"/>
        <family val="2"/>
        <scheme val="minor"/>
      </rPr>
      <t>N145</t>
    </r>
  </si>
  <si>
    <r>
      <t xml:space="preserve">Comment: </t>
    </r>
    <r>
      <rPr>
        <sz val="10"/>
        <color theme="1"/>
        <rFont val="Calibri"/>
        <family val="2"/>
        <scheme val="minor"/>
      </rPr>
      <t>The entire underground system has failed and requires removal and replacement of all components</t>
    </r>
  </si>
  <si>
    <r>
      <t xml:space="preserve">Cell: </t>
    </r>
    <r>
      <rPr>
        <sz val="10"/>
        <color theme="1"/>
        <rFont val="Calibri"/>
        <family val="2"/>
        <scheme val="minor"/>
      </rPr>
      <t>C146</t>
    </r>
  </si>
  <si>
    <r>
      <t xml:space="preserve">Comment: </t>
    </r>
    <r>
      <rPr>
        <sz val="10"/>
        <color theme="1"/>
        <rFont val="Calibri"/>
        <family val="2"/>
        <scheme val="minor"/>
      </rPr>
      <t>Apply to surface area</t>
    </r>
  </si>
  <si>
    <r>
      <t xml:space="preserve">Cell: </t>
    </r>
    <r>
      <rPr>
        <sz val="10"/>
        <color theme="1"/>
        <rFont val="Calibri"/>
        <family val="2"/>
        <scheme val="minor"/>
      </rPr>
      <t>N146</t>
    </r>
  </si>
  <si>
    <r>
      <t xml:space="preserve">Cell: </t>
    </r>
    <r>
      <rPr>
        <sz val="10"/>
        <color theme="1"/>
        <rFont val="Calibri"/>
        <family val="2"/>
        <scheme val="minor"/>
      </rPr>
      <t>C147</t>
    </r>
  </si>
  <si>
    <r>
      <t xml:space="preserve">Cell: </t>
    </r>
    <r>
      <rPr>
        <sz val="10"/>
        <color theme="1"/>
        <rFont val="Calibri"/>
        <family val="2"/>
        <scheme val="minor"/>
      </rPr>
      <t>N147</t>
    </r>
  </si>
  <si>
    <r>
      <t xml:space="preserve">Cell: </t>
    </r>
    <r>
      <rPr>
        <sz val="10"/>
        <color theme="1"/>
        <rFont val="Calibri"/>
        <family val="2"/>
        <scheme val="minor"/>
      </rPr>
      <t>C148</t>
    </r>
  </si>
  <si>
    <r>
      <t xml:space="preserve">Comment: </t>
    </r>
    <r>
      <rPr>
        <sz val="10"/>
        <color theme="1"/>
        <rFont val="Calibri"/>
        <family val="2"/>
        <scheme val="minor"/>
      </rPr>
      <t>Natural gas lines; Apply to surface area</t>
    </r>
  </si>
  <si>
    <r>
      <t xml:space="preserve">Cell: </t>
    </r>
    <r>
      <rPr>
        <sz val="10"/>
        <color theme="1"/>
        <rFont val="Calibri"/>
        <family val="2"/>
        <scheme val="minor"/>
      </rPr>
      <t>N148</t>
    </r>
  </si>
  <si>
    <r>
      <t xml:space="preserve">Cell: </t>
    </r>
    <r>
      <rPr>
        <sz val="10"/>
        <color theme="1"/>
        <rFont val="Calibri"/>
        <family val="2"/>
        <scheme val="minor"/>
      </rPr>
      <t>D151</t>
    </r>
  </si>
  <si>
    <r>
      <t xml:space="preserve">Comment: </t>
    </r>
    <r>
      <rPr>
        <sz val="10"/>
        <color theme="1"/>
        <rFont val="Calibri"/>
        <family val="2"/>
        <scheme val="minor"/>
      </rPr>
      <t>Assumes the private portion of the service lines typically underground after the meter or transformer; Apply to surface area</t>
    </r>
  </si>
  <si>
    <r>
      <t xml:space="preserve">Cell: </t>
    </r>
    <r>
      <rPr>
        <sz val="10"/>
        <color theme="1"/>
        <rFont val="Calibri"/>
        <family val="2"/>
        <scheme val="minor"/>
      </rPr>
      <t>L151</t>
    </r>
  </si>
  <si>
    <r>
      <t xml:space="preserve">Comment: </t>
    </r>
    <r>
      <rPr>
        <sz val="10"/>
        <color theme="1"/>
        <rFont val="Calibri"/>
        <family val="2"/>
        <scheme val="minor"/>
      </rPr>
      <t>The transformer no longer functions and is in need of replacement</t>
    </r>
  </si>
  <si>
    <r>
      <t xml:space="preserve">Cell: </t>
    </r>
    <r>
      <rPr>
        <sz val="10"/>
        <color theme="1"/>
        <rFont val="Calibri"/>
        <family val="2"/>
        <scheme val="minor"/>
      </rPr>
      <t>N151</t>
    </r>
  </si>
  <si>
    <r>
      <t xml:space="preserve">Comment: </t>
    </r>
    <r>
      <rPr>
        <sz val="10"/>
        <color theme="1"/>
        <rFont val="Calibri"/>
        <family val="2"/>
        <scheme val="minor"/>
      </rPr>
      <t>The service has failed and is beyond repair or is undersized requiring replacement of transformer and service lines</t>
    </r>
  </si>
  <si>
    <r>
      <t xml:space="preserve">Cell: </t>
    </r>
    <r>
      <rPr>
        <sz val="10"/>
        <color theme="1"/>
        <rFont val="Calibri"/>
        <family val="2"/>
        <scheme val="minor"/>
      </rPr>
      <t>D152</t>
    </r>
  </si>
  <si>
    <r>
      <t xml:space="preserve">Comment: </t>
    </r>
    <r>
      <rPr>
        <sz val="10"/>
        <color theme="1"/>
        <rFont val="Calibri"/>
        <family val="2"/>
        <scheme val="minor"/>
      </rPr>
      <t>Apply to generator quantity</t>
    </r>
  </si>
  <si>
    <r>
      <t xml:space="preserve">Cell: </t>
    </r>
    <r>
      <rPr>
        <sz val="10"/>
        <color theme="1"/>
        <rFont val="Calibri"/>
        <family val="2"/>
        <scheme val="minor"/>
      </rPr>
      <t>H152</t>
    </r>
  </si>
  <si>
    <r>
      <t xml:space="preserve">Comment: </t>
    </r>
    <r>
      <rPr>
        <sz val="10"/>
        <color theme="1"/>
        <rFont val="Calibri"/>
        <family val="2"/>
        <scheme val="minor"/>
      </rPr>
      <t>The generator needs to be tuned up</t>
    </r>
  </si>
  <si>
    <r>
      <t xml:space="preserve">Cell: </t>
    </r>
    <r>
      <rPr>
        <sz val="10"/>
        <color theme="1"/>
        <rFont val="Calibri"/>
        <family val="2"/>
        <scheme val="minor"/>
      </rPr>
      <t>J152</t>
    </r>
  </si>
  <si>
    <r>
      <t xml:space="preserve">Comment: </t>
    </r>
    <r>
      <rPr>
        <sz val="10"/>
        <color theme="1"/>
        <rFont val="Calibri"/>
        <family val="2"/>
        <scheme val="minor"/>
      </rPr>
      <t>The valves or other engine parts need to be repaired or replaced and then a tune up</t>
    </r>
  </si>
  <si>
    <r>
      <t xml:space="preserve">Cell: </t>
    </r>
    <r>
      <rPr>
        <sz val="10"/>
        <color theme="1"/>
        <rFont val="Calibri"/>
        <family val="2"/>
        <scheme val="minor"/>
      </rPr>
      <t>L152</t>
    </r>
  </si>
  <si>
    <r>
      <t xml:space="preserve">Comment: </t>
    </r>
    <r>
      <rPr>
        <sz val="10"/>
        <color theme="1"/>
        <rFont val="Calibri"/>
        <family val="2"/>
        <scheme val="minor"/>
      </rPr>
      <t>Generator is non‐functional or under‐sized</t>
    </r>
  </si>
  <si>
    <r>
      <t xml:space="preserve">Cell: </t>
    </r>
    <r>
      <rPr>
        <sz val="10"/>
        <color theme="1"/>
        <rFont val="Calibri"/>
        <family val="2"/>
        <scheme val="minor"/>
      </rPr>
      <t>N152</t>
    </r>
  </si>
  <si>
    <r>
      <t xml:space="preserve">Comment: </t>
    </r>
    <r>
      <rPr>
        <sz val="10"/>
        <color theme="1"/>
        <rFont val="Calibri"/>
        <family val="2"/>
        <scheme val="minor"/>
      </rPr>
      <t>The system (generator, tank, services lines connected lighting system) is non‐functional or under‐sized</t>
    </r>
  </si>
  <si>
    <r>
      <t xml:space="preserve">Cell: </t>
    </r>
    <r>
      <rPr>
        <sz val="10"/>
        <color theme="1"/>
        <rFont val="Calibri"/>
        <family val="2"/>
        <scheme val="minor"/>
      </rPr>
      <t>C153</t>
    </r>
  </si>
  <si>
    <r>
      <t xml:space="preserve">Cell: </t>
    </r>
    <r>
      <rPr>
        <sz val="10"/>
        <color theme="1"/>
        <rFont val="Calibri"/>
        <family val="2"/>
        <scheme val="minor"/>
      </rPr>
      <t>J153</t>
    </r>
  </si>
  <si>
    <r>
      <t xml:space="preserve">Comment: </t>
    </r>
    <r>
      <rPr>
        <sz val="10"/>
        <color theme="1"/>
        <rFont val="Calibri"/>
        <family val="2"/>
        <scheme val="minor"/>
      </rPr>
      <t>The fixtures are nonfunctional and require replacement</t>
    </r>
  </si>
  <si>
    <r>
      <t xml:space="preserve">Cell: </t>
    </r>
    <r>
      <rPr>
        <sz val="10"/>
        <color theme="1"/>
        <rFont val="Calibri"/>
        <family val="2"/>
        <scheme val="minor"/>
      </rPr>
      <t>N153</t>
    </r>
  </si>
  <si>
    <r>
      <t xml:space="preserve">Comment: </t>
    </r>
    <r>
      <rPr>
        <sz val="10"/>
        <color theme="1"/>
        <rFont val="Calibri"/>
        <family val="2"/>
        <scheme val="minor"/>
      </rPr>
      <t>The fixtures, supports, and underground wiring need to be replaced</t>
    </r>
  </si>
  <si>
    <r>
      <t xml:space="preserve">Cell: </t>
    </r>
    <r>
      <rPr>
        <sz val="10"/>
        <color theme="1"/>
        <rFont val="Calibri"/>
        <family val="2"/>
        <scheme val="minor"/>
      </rPr>
      <t>C154</t>
    </r>
  </si>
  <si>
    <r>
      <t xml:space="preserve">Comment: </t>
    </r>
    <r>
      <rPr>
        <sz val="10"/>
        <color theme="1"/>
        <rFont val="Calibri"/>
        <family val="2"/>
        <scheme val="minor"/>
      </rPr>
      <t>Assumes low voltage lines underground; Apply to surface area</t>
    </r>
  </si>
  <si>
    <r>
      <t xml:space="preserve">Cell: </t>
    </r>
    <r>
      <rPr>
        <sz val="10"/>
        <color theme="1"/>
        <rFont val="Calibri"/>
        <family val="2"/>
        <scheme val="minor"/>
      </rPr>
      <t>N154</t>
    </r>
  </si>
  <si>
    <r>
      <t xml:space="preserve">Comment: </t>
    </r>
    <r>
      <rPr>
        <sz val="10"/>
        <color theme="1"/>
        <rFont val="Calibri"/>
        <family val="2"/>
        <scheme val="minor"/>
      </rPr>
      <t>Site cabling is inadequate or service is interrupted ‐ replace cabling</t>
    </r>
  </si>
  <si>
    <r>
      <t xml:space="preserve">Cell: </t>
    </r>
    <r>
      <rPr>
        <sz val="10"/>
        <color theme="1"/>
        <rFont val="Calibri"/>
        <family val="2"/>
        <scheme val="minor"/>
      </rPr>
      <t>C158</t>
    </r>
  </si>
  <si>
    <r>
      <t xml:space="preserve">Comment: </t>
    </r>
    <r>
      <rPr>
        <sz val="10"/>
        <color theme="1"/>
        <rFont val="Calibri"/>
        <family val="2"/>
        <scheme val="minor"/>
      </rPr>
      <t>For assessment professional to hand enter for specialty items and systems that do not fit into categories above</t>
    </r>
  </si>
  <si>
    <t>For this worksheet a "Compliant" school is where 85% or more of the classrooms are at least 800 sf. (22 Students per classroom)</t>
  </si>
  <si>
    <r>
      <t xml:space="preserve">For this worksheet a "Non-compliant" elementary is where more than 15% of classrooms </t>
    </r>
    <r>
      <rPr>
        <u/>
        <sz val="11"/>
        <color theme="1"/>
        <rFont val="Calibri"/>
        <family val="2"/>
        <scheme val="minor"/>
      </rPr>
      <t>are &lt;</t>
    </r>
    <r>
      <rPr>
        <sz val="11"/>
        <color theme="1"/>
        <rFont val="Calibri"/>
        <family val="2"/>
        <scheme val="minor"/>
      </rPr>
      <t>800 sf.</t>
    </r>
  </si>
  <si>
    <t>This Excel workbook is designed for use by public school districts to collect and analyze data in a Facility Condition Assessment (FCA) process.</t>
  </si>
  <si>
    <t>For detailed instructions on how to use this workbook, view the companion FACILITY CONDITION ASSESSMENT MANUAL at school-infrastructure.org</t>
  </si>
  <si>
    <t>Type District Name</t>
  </si>
  <si>
    <t>Cost Factor:</t>
  </si>
  <si>
    <t>Insert an estimated local cost inflation factor based on how much local costs are greater/lesser than the base prices in the PCA Cost Tables.  (E.g., 1.15 = costs are ~ 15% greater than the average in the PCA Cost Table. If costs are considered average, keep the value "1")</t>
  </si>
  <si>
    <t>Name of the company performing the assessment</t>
  </si>
  <si>
    <t xml:space="preserve"> Category</t>
  </si>
  <si>
    <t xml:space="preserve">List the original building year completed. </t>
  </si>
  <si>
    <t>Lookup Key</t>
  </si>
  <si>
    <r>
      <t xml:space="preserve">Enter </t>
    </r>
    <r>
      <rPr>
        <b/>
        <sz val="11"/>
        <color theme="1"/>
        <rFont val="Calibri"/>
        <family val="2"/>
        <scheme val="minor"/>
      </rPr>
      <t>Reported Installation Date</t>
    </r>
    <r>
      <rPr>
        <sz val="11"/>
        <color theme="1"/>
        <rFont val="Calibri"/>
        <family val="2"/>
        <scheme val="minor"/>
      </rPr>
      <t>, not the age in years.</t>
    </r>
  </si>
  <si>
    <r>
      <t>Enter remaining life as "</t>
    </r>
    <r>
      <rPr>
        <b/>
        <sz val="11"/>
        <color theme="1"/>
        <rFont val="Calibri"/>
        <family val="2"/>
        <scheme val="minor"/>
      </rPr>
      <t>___ years</t>
    </r>
    <r>
      <rPr>
        <sz val="11"/>
        <color theme="1"/>
        <rFont val="Calibri"/>
        <family val="2"/>
        <scheme val="minor"/>
      </rPr>
      <t>".  Include the word "years".</t>
    </r>
  </si>
  <si>
    <t>Narratrive Executive Summary  ---------------------------------------------------&gt;</t>
  </si>
  <si>
    <t>Narrative Summary  ---------------------------------------------------&gt;</t>
  </si>
  <si>
    <t>Window Unit Calculator in feet</t>
  </si>
  <si>
    <t>Window Unit Calculator in inches</t>
  </si>
  <si>
    <t>Manually edit for each assessment</t>
  </si>
  <si>
    <t>Column / cell needs direct user input (see also column AR to the right to inform Life Cycle Cost Estimates)</t>
  </si>
  <si>
    <r>
      <t xml:space="preserve">Suggested formatting:  </t>
    </r>
    <r>
      <rPr>
        <b/>
        <sz val="11"/>
        <color theme="1"/>
        <rFont val="Calibri"/>
        <family val="2"/>
        <scheme val="minor"/>
      </rPr>
      <t>SITE NAME_BUILDING NAME</t>
    </r>
    <r>
      <rPr>
        <sz val="11"/>
        <color theme="1"/>
        <rFont val="Calibri"/>
        <family val="2"/>
        <scheme val="minor"/>
      </rPr>
      <t xml:space="preserve">  </t>
    </r>
    <r>
      <rPr>
        <i/>
        <sz val="9"/>
        <color theme="1"/>
        <rFont val="Calibri"/>
        <family val="2"/>
        <scheme val="minor"/>
      </rPr>
      <t xml:space="preserve">(the Dashboard site hierarchy is based on what is entered here).
</t>
    </r>
    <r>
      <rPr>
        <sz val="11"/>
        <color theme="1"/>
        <rFont val="Calibri"/>
        <family val="2"/>
        <scheme val="minor"/>
      </rPr>
      <t>To group multiple workbooks at the same site, the SITE NAME must match</t>
    </r>
    <r>
      <rPr>
        <i/>
        <sz val="9"/>
        <color theme="1"/>
        <rFont val="Calibri"/>
        <family val="2"/>
        <scheme val="minor"/>
      </rPr>
      <t xml:space="preserve"> (i.e., </t>
    </r>
    <r>
      <rPr>
        <b/>
        <i/>
        <u/>
        <sz val="9"/>
        <color theme="1"/>
        <rFont val="Calibri"/>
        <family val="2"/>
        <scheme val="minor"/>
      </rPr>
      <t>Elementary School</t>
    </r>
    <r>
      <rPr>
        <i/>
        <sz val="9"/>
        <color theme="1"/>
        <rFont val="Calibri"/>
        <family val="2"/>
        <scheme val="minor"/>
      </rPr>
      <t xml:space="preserve"> - Main &amp; </t>
    </r>
    <r>
      <rPr>
        <b/>
        <i/>
        <u/>
        <sz val="9"/>
        <color theme="1"/>
        <rFont val="Calibri"/>
        <family val="2"/>
        <scheme val="minor"/>
      </rPr>
      <t>Elementary School</t>
    </r>
    <r>
      <rPr>
        <i/>
        <sz val="9"/>
        <color theme="1"/>
        <rFont val="Calibri"/>
        <family val="2"/>
        <scheme val="minor"/>
      </rPr>
      <t xml:space="preserve"> - Gym is correct).  If one WB says "</t>
    </r>
    <r>
      <rPr>
        <b/>
        <i/>
        <u/>
        <sz val="9"/>
        <color theme="1"/>
        <rFont val="Calibri"/>
        <family val="2"/>
        <scheme val="minor"/>
      </rPr>
      <t>Elementary School</t>
    </r>
    <r>
      <rPr>
        <i/>
        <sz val="9"/>
        <color theme="1"/>
        <rFont val="Calibri"/>
        <family val="2"/>
        <scheme val="minor"/>
      </rPr>
      <t xml:space="preserve"> - Main" and another WB says "</t>
    </r>
    <r>
      <rPr>
        <b/>
        <i/>
        <u/>
        <sz val="9"/>
        <color theme="1"/>
        <rFont val="Calibri"/>
        <family val="2"/>
        <scheme val="minor"/>
      </rPr>
      <t>Elementary</t>
    </r>
    <r>
      <rPr>
        <i/>
        <sz val="9"/>
        <color theme="1"/>
        <rFont val="Calibri"/>
        <family val="2"/>
        <scheme val="minor"/>
      </rPr>
      <t xml:space="preserve"> - Gym", they would not be grouped together on Dashboard because the left part of the SITE NAMES don't match exactly (Elementary School VS Elementary).
</t>
    </r>
    <r>
      <rPr>
        <sz val="9"/>
        <color theme="1"/>
        <rFont val="Calibri"/>
        <family val="2"/>
        <scheme val="minor"/>
      </rPr>
      <t xml:space="preserve">
</t>
    </r>
    <r>
      <rPr>
        <sz val="11"/>
        <color theme="1"/>
        <rFont val="Calibri"/>
        <family val="2"/>
        <scheme val="minor"/>
      </rPr>
      <t>If there is only one main building at the site, use the format "</t>
    </r>
    <r>
      <rPr>
        <b/>
        <sz val="11"/>
        <color theme="1"/>
        <rFont val="Calibri"/>
        <family val="2"/>
        <scheme val="minor"/>
      </rPr>
      <t>Austin Elementary School</t>
    </r>
    <r>
      <rPr>
        <sz val="11"/>
        <color theme="1"/>
        <rFont val="Calibri"/>
        <family val="2"/>
        <scheme val="minor"/>
      </rPr>
      <t>"; do not add "_</t>
    </r>
    <r>
      <rPr>
        <b/>
        <sz val="11"/>
        <color theme="1"/>
        <rFont val="Calibri"/>
        <family val="2"/>
        <scheme val="minor"/>
      </rPr>
      <t>Main</t>
    </r>
    <r>
      <rPr>
        <sz val="11"/>
        <color theme="1"/>
        <rFont val="Calibri"/>
        <family val="2"/>
        <scheme val="minor"/>
      </rPr>
      <t>" at the end of the SITE NAME.</t>
    </r>
  </si>
  <si>
    <t>Update if useful life values are known to be different than the values below.</t>
  </si>
  <si>
    <t>Based on value in Base Info Sheet, cell B23 or the YR system was renovated.</t>
  </si>
  <si>
    <t>Yrs 1-5 LC $</t>
  </si>
  <si>
    <t>Yrs 6-10 LC $</t>
  </si>
  <si>
    <t>YRs 11-15 LC $</t>
  </si>
  <si>
    <t>Estimated timeframe and ROM cost within 15 years when a system would require major renovation or replacement.</t>
  </si>
  <si>
    <t>Assigned Inflation Factor:</t>
  </si>
  <si>
    <t>Assigned Soft Development Factor:</t>
  </si>
  <si>
    <t>Escalation Beyond 30 months:</t>
  </si>
  <si>
    <t>Raw Budget / SF</t>
  </si>
  <si>
    <t>x Inflation</t>
  </si>
  <si>
    <t>x Cost Factor</t>
  </si>
  <si>
    <t>x Soft Costs</t>
  </si>
  <si>
    <t>Cost Factor, Inflation &amp; Soft Costs entered in Base Information Sheet</t>
  </si>
  <si>
    <t>Edit Raw Budget to match local current pricing</t>
  </si>
  <si>
    <t>ADA SURVEY</t>
  </si>
  <si>
    <t>INFORMATION TECHNOLOGY SURVEY</t>
  </si>
  <si>
    <t>HARMFUL SUBSTANCES SURVEY</t>
  </si>
  <si>
    <t>INDOOR AIR QUALITY SURVEY</t>
  </si>
  <si>
    <t>Use “0” or zero to indicate that a system is not present or leave blank.</t>
  </si>
  <si>
    <t>When you are using your expertise to override the built-in cost model document that decision in the "Notes" sections. Notes should be added to communicate why you are overriding the template. Example, a system has a key component that needs to be replaced but that replacement is not accurately described in the "Level of Action" comments.</t>
  </si>
  <si>
    <t>It is recommended that you create a different assessment Excel workbook for each building.</t>
  </si>
  <si>
    <t>The default for portables is to list them in the Renovations, Additions, &amp; Prtbls tab. If you require a full assessment of portable classrooms, please create a separate assessment Excel workbook for each building.</t>
  </si>
  <si>
    <t xml:space="preserve">If an ADA deficiency is listed in the Physical Condition Assessment tab, then include that in the final costs. </t>
  </si>
  <si>
    <t>Please remember that this tool is to provide districts with budget level estimates on costs of repairs to buildings. If after reviewing the total costs, including the built in soft cost multiplier, your expert opinion is that the costs are too low, please increase the costs and note it in the "Notes" section.</t>
  </si>
  <si>
    <r>
      <rPr>
        <b/>
        <sz val="11"/>
        <rFont val="Calibri"/>
        <family val="2"/>
        <scheme val="minor"/>
      </rPr>
      <t>On the Base Information Sheet, Cell B5:</t>
    </r>
    <r>
      <rPr>
        <sz val="11"/>
        <rFont val="Calibri"/>
        <family val="2"/>
        <scheme val="minor"/>
      </rPr>
      <t xml:space="preserve">  If the campus has more than one building, please specify the </t>
    </r>
    <r>
      <rPr>
        <u/>
        <sz val="11"/>
        <rFont val="Calibri"/>
        <family val="2"/>
        <scheme val="minor"/>
      </rPr>
      <t>building</t>
    </r>
    <r>
      <rPr>
        <sz val="11"/>
        <rFont val="Calibri"/>
        <family val="2"/>
        <scheme val="minor"/>
      </rPr>
      <t xml:space="preserve"> in the Site Name field as well.  For example:                                                                               *Site Name:  </t>
    </r>
    <r>
      <rPr>
        <i/>
        <sz val="11"/>
        <rFont val="Calibri"/>
        <family val="2"/>
        <scheme val="minor"/>
      </rPr>
      <t xml:space="preserve">Rolling Hills Elementary_Main Building
</t>
    </r>
    <r>
      <rPr>
        <sz val="11"/>
        <rFont val="Calibri"/>
        <family val="2"/>
        <scheme val="minor"/>
      </rPr>
      <t xml:space="preserve">*Site Name: </t>
    </r>
    <r>
      <rPr>
        <i/>
        <sz val="11"/>
        <rFont val="Calibri"/>
        <family val="2"/>
        <scheme val="minor"/>
      </rPr>
      <t xml:space="preserve"> Rolling Hills Elementary _Gymnasium</t>
    </r>
  </si>
  <si>
    <t>Enter County Name</t>
  </si>
  <si>
    <t>System Category</t>
  </si>
  <si>
    <t>Costs by level of action and system should be carefully reviewed and modified to reflect local current cost estimates.</t>
  </si>
  <si>
    <t xml:space="preserve">NOTE: The cost models included in the workbook should be reviewed and updated by the user to reflect current local market conditions.   </t>
  </si>
  <si>
    <t>LEVEL OF NEEDED ACTION</t>
  </si>
  <si>
    <t>SCHOOL SAFETY SURVEY</t>
  </si>
  <si>
    <t>Facility Condition Assessment (FCA) Workbook</t>
  </si>
  <si>
    <t>Version 1.1</t>
  </si>
  <si>
    <t>January 2026</t>
  </si>
  <si>
    <t xml:space="preserve">NOTE: The workbook file is designed to be used for one building. For multiple buildings, simply duplicate the file and maintain a one file per building setup.				</t>
  </si>
  <si>
    <t>Disclaimer</t>
  </si>
  <si>
    <t>Contents of this manual were developed under Award #S184R230005 from the U.S. Department of Education.</t>
  </si>
  <si>
    <t>However, the contents do not necessarily represent the policy of the Department of Education, and you should not assume endorsement by the Federal Government.</t>
  </si>
  <si>
    <t>The tool is made available for users to customize for their one needs.</t>
  </si>
  <si>
    <t>Questions? Feedback?</t>
  </si>
  <si>
    <t>https://school-infrastructure.org/contact-us/</t>
  </si>
  <si>
    <t>Inflation Assigned for a 30-month period assuming 1 year till bond and 1-1/2 years into a 3-year design/construction cycle (ex: 1.16)</t>
  </si>
  <si>
    <t>Assuming design, direct-hire specialists (envelope, commissioning, cost estimating, etc.), state solar, permits, survey, geo, bond issuance, management, furnishings, and 15% contingency (ex: 1.38)</t>
  </si>
  <si>
    <t>Inflation Rate Per Annum for Projects (ex: 1.04)</t>
  </si>
  <si>
    <t>Blue colored box indicates critical data needed for the assessment</t>
  </si>
  <si>
    <t>We would appreciate hearing from you about your experience with this tool. Drop us a 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</si>
</sst>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quot;$&quot;#,##0"/>
    <numFmt numFmtId="165" formatCode="&quot;$&quot;#,##0&quot; / SF&quot;"/>
    <numFmt numFmtId="166" formatCode="_(* #,##0_);_(* \(#,##0\);_(* &quot;-&quot;??_);_(@_)"/>
    <numFmt numFmtId="167" formatCode="0.0%"/>
    <numFmt numFmtId="168" formatCode="&quot;$&quot;#,##0.0"/>
    <numFmt numFmtId="169" formatCode="&quot;$&quot;#,##0.00"/>
    <numFmt numFmtId="170" formatCode="\+\ 0_);\(0\)"/>
    <numFmt numFmtId="171" formatCode="#,##0.0"/>
    <numFmt numFmtId="172" formatCode="\+\ #,##0_);\(#,##0\)"/>
    <numFmt numFmtId="173" formatCode="_(&quot;$&quot;* #,##0_);_(&quot;$&quot;* \(#,##0\);_(&quot;$&quot;* &quot;-&quot;??_);_(@_)"/>
  </numFmts>
  <fonts count="80" x14ac:knownFonts="1">
    <font>
      <sz val="11"/>
      <color theme="1"/>
      <name val="Calibri"/>
      <family val="2"/>
      <scheme val="minor"/>
    </font>
    <font>
      <b/>
      <sz val="11"/>
      <color theme="1"/>
      <name val="Calibri"/>
      <family val="2"/>
      <scheme val="minor"/>
    </font>
    <font>
      <b/>
      <sz val="9"/>
      <color indexed="81"/>
      <name val="Tahoma"/>
      <family val="2"/>
    </font>
    <font>
      <sz val="11"/>
      <color theme="1"/>
      <name val="Calibri"/>
      <family val="2"/>
      <scheme val="minor"/>
    </font>
    <font>
      <sz val="11"/>
      <name val="Calibri"/>
      <family val="2"/>
      <scheme val="minor"/>
    </font>
    <font>
      <u/>
      <sz val="11"/>
      <color theme="1"/>
      <name val="Calibri"/>
      <family val="2"/>
      <scheme val="minor"/>
    </font>
    <font>
      <b/>
      <u/>
      <sz val="11"/>
      <color theme="1"/>
      <name val="Calibri"/>
      <family val="2"/>
      <scheme val="minor"/>
    </font>
    <font>
      <b/>
      <u/>
      <sz val="9"/>
      <color indexed="81"/>
      <name val="Tahoma"/>
      <family val="2"/>
    </font>
    <font>
      <b/>
      <sz val="11"/>
      <color rgb="FFFF0000"/>
      <name val="Calibri"/>
      <family val="2"/>
      <scheme val="minor"/>
    </font>
    <font>
      <sz val="10"/>
      <color rgb="FF000000"/>
      <name val="Times New Roman"/>
      <family val="1"/>
    </font>
    <font>
      <sz val="10"/>
      <color rgb="FF000000"/>
      <name val="Times New Roman"/>
      <family val="1"/>
    </font>
    <font>
      <sz val="11"/>
      <color rgb="FFFF0000"/>
      <name val="Calibri"/>
      <family val="2"/>
      <scheme val="minor"/>
    </font>
    <font>
      <b/>
      <sz val="14"/>
      <color theme="1"/>
      <name val="Arial"/>
      <family val="2"/>
    </font>
    <font>
      <b/>
      <sz val="10"/>
      <color theme="1"/>
      <name val="Calibri"/>
      <family val="2"/>
      <scheme val="minor"/>
    </font>
    <font>
      <sz val="10"/>
      <color theme="1"/>
      <name val="Calibri"/>
      <family val="2"/>
      <scheme val="minor"/>
    </font>
    <font>
      <u/>
      <sz val="11"/>
      <color theme="10"/>
      <name val="Calibri"/>
      <family val="2"/>
      <scheme val="minor"/>
    </font>
    <font>
      <b/>
      <sz val="14"/>
      <name val="Calibri"/>
      <family val="2"/>
      <scheme val="minor"/>
    </font>
    <font>
      <sz val="10"/>
      <color rgb="FF000000"/>
      <name val="Calibri"/>
      <family val="2"/>
      <scheme val="minor"/>
    </font>
    <font>
      <b/>
      <sz val="12"/>
      <name val="Calibri"/>
      <family val="2"/>
      <scheme val="minor"/>
    </font>
    <font>
      <sz val="12"/>
      <name val="Calibri"/>
      <family val="2"/>
      <scheme val="minor"/>
    </font>
    <font>
      <b/>
      <i/>
      <sz val="11"/>
      <color theme="1"/>
      <name val="Calibri"/>
      <family val="2"/>
      <scheme val="minor"/>
    </font>
    <font>
      <i/>
      <sz val="11"/>
      <color theme="1"/>
      <name val="Calibri"/>
      <family val="2"/>
      <scheme val="minor"/>
    </font>
    <font>
      <b/>
      <sz val="11"/>
      <color theme="0"/>
      <name val="Calibri"/>
      <family val="2"/>
      <scheme val="minor"/>
    </font>
    <font>
      <sz val="11"/>
      <color theme="0"/>
      <name val="Calibri"/>
      <family val="2"/>
      <scheme val="minor"/>
    </font>
    <font>
      <sz val="9"/>
      <color indexed="81"/>
      <name val="Tahoma"/>
      <family val="2"/>
    </font>
    <font>
      <b/>
      <sz val="11"/>
      <name val="Calibri"/>
      <family val="2"/>
      <scheme val="minor"/>
    </font>
    <font>
      <sz val="12"/>
      <color theme="1"/>
      <name val="Calibri"/>
      <family val="2"/>
      <scheme val="minor"/>
    </font>
    <font>
      <sz val="11"/>
      <color rgb="FF00B0F0"/>
      <name val="Calibri"/>
      <family val="2"/>
      <scheme val="minor"/>
    </font>
    <font>
      <i/>
      <sz val="11"/>
      <color rgb="FF00B0F0"/>
      <name val="Calibri"/>
      <family val="2"/>
      <scheme val="minor"/>
    </font>
    <font>
      <b/>
      <i/>
      <u/>
      <sz val="14"/>
      <color theme="1"/>
      <name val="Calibri"/>
      <family val="2"/>
      <scheme val="minor"/>
    </font>
    <font>
      <sz val="11"/>
      <color theme="5"/>
      <name val="Calibri"/>
      <family val="2"/>
      <scheme val="minor"/>
    </font>
    <font>
      <b/>
      <sz val="11"/>
      <color theme="5"/>
      <name val="Calibri"/>
      <family val="2"/>
      <scheme val="minor"/>
    </font>
    <font>
      <b/>
      <u/>
      <sz val="11"/>
      <color rgb="FFFF0000"/>
      <name val="Calibri"/>
      <family val="2"/>
      <scheme val="minor"/>
    </font>
    <font>
      <b/>
      <i/>
      <u/>
      <sz val="14"/>
      <name val="Calibri"/>
      <family val="2"/>
      <scheme val="minor"/>
    </font>
    <font>
      <u/>
      <sz val="11"/>
      <name val="Calibri"/>
      <family val="2"/>
      <scheme val="minor"/>
    </font>
    <font>
      <i/>
      <sz val="11"/>
      <name val="Calibri"/>
      <family val="2"/>
      <scheme val="minor"/>
    </font>
    <font>
      <sz val="11"/>
      <name val="Wingdings"/>
      <charset val="2"/>
    </font>
    <font>
      <b/>
      <sz val="14"/>
      <color theme="1"/>
      <name val="Calibri"/>
      <family val="2"/>
      <scheme val="minor"/>
    </font>
    <font>
      <b/>
      <sz val="18"/>
      <color theme="1"/>
      <name val="Calibri"/>
      <family val="2"/>
      <scheme val="minor"/>
    </font>
    <font>
      <b/>
      <sz val="16"/>
      <name val="Calibri"/>
      <family val="2"/>
      <scheme val="minor"/>
    </font>
    <font>
      <b/>
      <sz val="14"/>
      <color theme="0"/>
      <name val="Calibri"/>
      <family val="2"/>
      <scheme val="minor"/>
    </font>
    <font>
      <sz val="14"/>
      <name val="Calibri"/>
      <family val="2"/>
      <scheme val="minor"/>
    </font>
    <font>
      <b/>
      <sz val="22"/>
      <color theme="1"/>
      <name val="Calibri"/>
      <family val="2"/>
      <scheme val="minor"/>
    </font>
    <font>
      <sz val="11"/>
      <color theme="0" tint="-0.34998626667073579"/>
      <name val="Calibri"/>
      <family val="2"/>
      <scheme val="minor"/>
    </font>
    <font>
      <b/>
      <u/>
      <sz val="11"/>
      <color theme="0" tint="-0.34998626667073579"/>
      <name val="Calibri"/>
      <family val="2"/>
      <scheme val="minor"/>
    </font>
    <font>
      <b/>
      <sz val="11"/>
      <color theme="0" tint="-0.34998626667073579"/>
      <name val="Calibri"/>
      <family val="2"/>
      <scheme val="minor"/>
    </font>
    <font>
      <i/>
      <sz val="11"/>
      <color rgb="FFFF0000"/>
      <name val="Calibri"/>
      <family val="2"/>
      <scheme val="minor"/>
    </font>
    <font>
      <u/>
      <sz val="9"/>
      <color indexed="81"/>
      <name val="Tahoma"/>
      <family val="2"/>
    </font>
    <font>
      <b/>
      <u/>
      <sz val="18"/>
      <color rgb="FFFF0000"/>
      <name val="Calibri"/>
      <family val="2"/>
      <scheme val="minor"/>
    </font>
    <font>
      <sz val="11"/>
      <color theme="0" tint="-0.249977111117893"/>
      <name val="Calibri"/>
      <family val="2"/>
      <scheme val="minor"/>
    </font>
    <font>
      <sz val="11"/>
      <color theme="0" tint="-0.499984740745262"/>
      <name val="Calibri"/>
      <family val="2"/>
      <scheme val="minor"/>
    </font>
    <font>
      <i/>
      <sz val="11"/>
      <color theme="0" tint="-0.499984740745262"/>
      <name val="Calibri"/>
      <family val="2"/>
      <scheme val="minor"/>
    </font>
    <font>
      <i/>
      <sz val="11"/>
      <color theme="0" tint="-0.34998626667073579"/>
      <name val="Calibri"/>
      <family val="2"/>
      <scheme val="minor"/>
    </font>
    <font>
      <b/>
      <sz val="11"/>
      <color rgb="FFC00000"/>
      <name val="Calibri"/>
      <family val="2"/>
      <scheme val="minor"/>
    </font>
    <font>
      <i/>
      <sz val="11"/>
      <color theme="4"/>
      <name val="Calibri"/>
      <family val="2"/>
      <scheme val="minor"/>
    </font>
    <font>
      <sz val="11"/>
      <color rgb="FF0070C0"/>
      <name val="Calibri"/>
      <family val="2"/>
      <scheme val="minor"/>
    </font>
    <font>
      <b/>
      <sz val="11"/>
      <color theme="4"/>
      <name val="Calibri"/>
      <family val="2"/>
      <scheme val="minor"/>
    </font>
    <font>
      <b/>
      <i/>
      <u/>
      <sz val="11"/>
      <color rgb="FFFF0000"/>
      <name val="Calibri"/>
      <family val="2"/>
      <scheme val="minor"/>
    </font>
    <font>
      <b/>
      <u/>
      <sz val="11"/>
      <color rgb="FF0070C0"/>
      <name val="Calibri"/>
      <family val="2"/>
      <scheme val="minor"/>
    </font>
    <font>
      <u/>
      <sz val="11"/>
      <color theme="0"/>
      <name val="Calibri"/>
      <family val="2"/>
      <scheme val="minor"/>
    </font>
    <font>
      <sz val="11"/>
      <color theme="8" tint="-0.249977111117893"/>
      <name val="Calibri"/>
      <family val="2"/>
      <scheme val="minor"/>
    </font>
    <font>
      <sz val="11"/>
      <color theme="3" tint="0.59999389629810485"/>
      <name val="Calibri"/>
      <family val="2"/>
      <scheme val="minor"/>
    </font>
    <font>
      <sz val="11"/>
      <color theme="4" tint="0.59999389629810485"/>
      <name val="Calibri"/>
      <family val="2"/>
      <scheme val="minor"/>
    </font>
    <font>
      <sz val="11"/>
      <color theme="2" tint="-0.249977111117893"/>
      <name val="Calibri"/>
      <family val="2"/>
      <scheme val="minor"/>
    </font>
    <font>
      <sz val="11"/>
      <color theme="6" tint="0.59999389629810485"/>
      <name val="Calibri"/>
      <family val="2"/>
      <scheme val="minor"/>
    </font>
    <font>
      <sz val="11"/>
      <color theme="8" tint="0.59999389629810485"/>
      <name val="Calibri"/>
      <family val="2"/>
      <scheme val="minor"/>
    </font>
    <font>
      <sz val="11"/>
      <color theme="7" tint="0.59999389629810485"/>
      <name val="Calibri"/>
      <family val="2"/>
      <scheme val="minor"/>
    </font>
    <font>
      <b/>
      <sz val="8"/>
      <color theme="1"/>
      <name val="Calibri"/>
      <family val="2"/>
      <scheme val="minor"/>
    </font>
    <font>
      <sz val="9"/>
      <color theme="1"/>
      <name val="Calibri"/>
      <family val="2"/>
      <scheme val="minor"/>
    </font>
    <font>
      <sz val="8"/>
      <color theme="1"/>
      <name val="Calibri"/>
      <family val="2"/>
      <scheme val="minor"/>
    </font>
    <font>
      <sz val="20"/>
      <color rgb="FF595959"/>
      <name val="Satoshi Black"/>
    </font>
    <font>
      <sz val="20"/>
      <color theme="1"/>
      <name val="Calibri"/>
      <family val="2"/>
      <scheme val="minor"/>
    </font>
    <font>
      <i/>
      <sz val="9"/>
      <color theme="1"/>
      <name val="Calibri"/>
      <family val="2"/>
      <scheme val="minor"/>
    </font>
    <font>
      <b/>
      <i/>
      <u/>
      <sz val="9"/>
      <color theme="1"/>
      <name val="Calibri"/>
      <family val="2"/>
      <scheme val="minor"/>
    </font>
    <font>
      <sz val="16"/>
      <color theme="1"/>
      <name val="Calibri"/>
      <family val="2"/>
      <scheme val="minor"/>
    </font>
    <font>
      <sz val="18"/>
      <color theme="1"/>
      <name val="Calibri"/>
      <family val="2"/>
      <scheme val="minor"/>
    </font>
    <font>
      <b/>
      <sz val="26"/>
      <color theme="1"/>
      <name val="Calibri"/>
      <family val="2"/>
      <scheme val="minor"/>
    </font>
    <font>
      <i/>
      <sz val="20"/>
      <color theme="1"/>
      <name val="Calibri"/>
      <family val="2"/>
      <scheme val="minor"/>
    </font>
    <font>
      <u/>
      <sz val="18"/>
      <color theme="10"/>
      <name val="Calibri"/>
      <family val="2"/>
      <scheme val="minor"/>
    </font>
    <font>
      <b/>
      <sz val="9"/>
      <color rgb="FF000000"/>
      <name val="Tahoma"/>
      <family val="2"/>
    </font>
  </fonts>
  <fills count="35">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1"/>
        <bgColor indexed="64"/>
      </patternFill>
    </fill>
    <fill>
      <patternFill patternType="solid">
        <fgColor theme="6" tint="0.59999389629810485"/>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rgb="FFC0C0C0"/>
      </patternFill>
    </fill>
    <fill>
      <patternFill patternType="solid">
        <fgColor theme="8" tint="0.59999389629810485"/>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3" tint="0.59999389629810485"/>
        <bgColor indexed="64"/>
      </patternFill>
    </fill>
    <fill>
      <patternFill patternType="solid">
        <fgColor theme="0" tint="-0.14999847407452621"/>
        <bgColor indexed="64"/>
      </patternFill>
    </fill>
    <fill>
      <patternFill patternType="solid">
        <fgColor theme="9" tint="-0.249977111117893"/>
        <bgColor indexed="64"/>
      </patternFill>
    </fill>
    <fill>
      <patternFill patternType="solid">
        <fgColor theme="8" tint="-0.249977111117893"/>
        <bgColor indexed="64"/>
      </patternFill>
    </fill>
    <fill>
      <patternFill patternType="solid">
        <fgColor theme="7" tint="-0.249977111117893"/>
        <bgColor indexed="64"/>
      </patternFill>
    </fill>
    <fill>
      <patternFill patternType="solid">
        <fgColor theme="6" tint="-0.249977111117893"/>
        <bgColor indexed="64"/>
      </patternFill>
    </fill>
    <fill>
      <patternFill patternType="solid">
        <fgColor theme="0" tint="-0.249977111117893"/>
        <bgColor indexed="64"/>
      </patternFill>
    </fill>
    <fill>
      <patternFill patternType="solid">
        <fgColor theme="0"/>
        <bgColor indexed="64"/>
      </patternFill>
    </fill>
    <fill>
      <patternFill patternType="solid">
        <fgColor theme="1" tint="4.9989318521683403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rgb="FFE7858E"/>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1" tint="0.34998626667073579"/>
        <bgColor indexed="64"/>
      </patternFill>
    </fill>
    <fill>
      <patternFill patternType="solid">
        <fgColor theme="3" tint="0.79998168889431442"/>
        <bgColor indexed="64"/>
      </patternFill>
    </fill>
    <fill>
      <patternFill patternType="solid">
        <fgColor theme="3" tint="0.39997558519241921"/>
        <bgColor indexed="64"/>
      </patternFill>
    </fill>
    <fill>
      <patternFill patternType="solid">
        <fgColor theme="3"/>
        <bgColor indexed="64"/>
      </patternFill>
    </fill>
  </fills>
  <borders count="111">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thin">
        <color auto="1"/>
      </bottom>
      <diagonal/>
    </border>
    <border>
      <left/>
      <right/>
      <top style="thin">
        <color auto="1"/>
      </top>
      <bottom style="thin">
        <color auto="1"/>
      </bottom>
      <diagonal/>
    </border>
    <border>
      <left style="thick">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thin">
        <color auto="1"/>
      </left>
      <right style="thin">
        <color auto="1"/>
      </right>
      <top style="thin">
        <color auto="1"/>
      </top>
      <bottom/>
      <diagonal/>
    </border>
    <border>
      <left/>
      <right/>
      <top/>
      <bottom style="medium">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000000"/>
      </top>
      <bottom/>
      <diagonal/>
    </border>
    <border>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style="medium">
        <color indexed="64"/>
      </left>
      <right/>
      <top/>
      <bottom style="thin">
        <color rgb="FF000000"/>
      </bottom>
      <diagonal/>
    </border>
    <border>
      <left/>
      <right/>
      <top style="thin">
        <color rgb="FF000000"/>
      </top>
      <bottom/>
      <diagonal/>
    </border>
    <border>
      <left/>
      <right style="medium">
        <color indexed="64"/>
      </right>
      <top style="thin">
        <color rgb="FF000000"/>
      </top>
      <bottom/>
      <diagonal/>
    </border>
    <border>
      <left style="medium">
        <color indexed="64"/>
      </left>
      <right/>
      <top style="thin">
        <color rgb="FF000000"/>
      </top>
      <bottom style="thin">
        <color rgb="FF000000"/>
      </bottom>
      <diagonal/>
    </border>
    <border>
      <left style="thin">
        <color indexed="64"/>
      </left>
      <right style="medium">
        <color indexed="64"/>
      </right>
      <top style="thin">
        <color indexed="64"/>
      </top>
      <bottom style="thin">
        <color indexed="64"/>
      </bottom>
      <diagonal/>
    </border>
    <border>
      <left style="medium">
        <color indexed="64"/>
      </left>
      <right/>
      <top style="thin">
        <color rgb="FF000000"/>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bottom/>
      <diagonal/>
    </border>
    <border>
      <left style="thin">
        <color indexed="64"/>
      </left>
      <right/>
      <top/>
      <bottom/>
      <diagonal/>
    </border>
    <border>
      <left style="thick">
        <color indexed="64"/>
      </left>
      <right/>
      <top/>
      <bottom/>
      <diagonal/>
    </border>
    <border>
      <left/>
      <right style="thick">
        <color indexed="64"/>
      </right>
      <top/>
      <bottom style="thin">
        <color indexed="64"/>
      </bottom>
      <diagonal/>
    </border>
    <border>
      <left style="thick">
        <color indexed="64"/>
      </left>
      <right style="thin">
        <color indexed="64"/>
      </right>
      <top/>
      <bottom style="thin">
        <color indexed="64"/>
      </bottom>
      <diagonal/>
    </border>
    <border>
      <left style="thin">
        <color auto="1"/>
      </left>
      <right style="thick">
        <color auto="1"/>
      </right>
      <top/>
      <bottom style="thin">
        <color auto="1"/>
      </bottom>
      <diagonal/>
    </border>
    <border>
      <left style="thin">
        <color auto="1"/>
      </left>
      <right style="thick">
        <color auto="1"/>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right/>
      <top style="double">
        <color indexed="64"/>
      </top>
      <bottom/>
      <diagonal/>
    </border>
    <border>
      <left style="thin">
        <color indexed="64"/>
      </left>
      <right style="thick">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ck">
        <color indexed="64"/>
      </left>
      <right style="thin">
        <color indexed="64"/>
      </right>
      <top style="double">
        <color indexed="64"/>
      </top>
      <bottom style="thin">
        <color indexed="64"/>
      </bottom>
      <diagonal/>
    </border>
    <border>
      <left style="thin">
        <color rgb="FF969696"/>
      </left>
      <right style="thin">
        <color rgb="FF969696"/>
      </right>
      <top/>
      <bottom style="thin">
        <color rgb="FF969696"/>
      </bottom>
      <diagonal/>
    </border>
    <border>
      <left/>
      <right style="thick">
        <color auto="1"/>
      </right>
      <top/>
      <bottom/>
      <diagonal/>
    </border>
    <border>
      <left style="thick">
        <color indexed="64"/>
      </left>
      <right/>
      <top style="thin">
        <color indexed="64"/>
      </top>
      <bottom style="thin">
        <color indexed="64"/>
      </bottom>
      <diagonal/>
    </border>
    <border>
      <left/>
      <right style="thick">
        <color indexed="64"/>
      </right>
      <top style="thin">
        <color auto="1"/>
      </top>
      <bottom style="thin">
        <color indexed="64"/>
      </bottom>
      <diagonal/>
    </border>
    <border>
      <left style="thin">
        <color auto="1"/>
      </left>
      <right style="thick">
        <color auto="1"/>
      </right>
      <top/>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rgb="FF969696"/>
      </left>
      <right style="thin">
        <color rgb="FF969696"/>
      </right>
      <top/>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theme="0" tint="-0.14996795556505021"/>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theme="3"/>
      </left>
      <right style="thin">
        <color theme="3"/>
      </right>
      <top style="medium">
        <color theme="3"/>
      </top>
      <bottom/>
      <diagonal/>
    </border>
    <border>
      <left style="thin">
        <color theme="3"/>
      </left>
      <right style="thin">
        <color theme="3"/>
      </right>
      <top style="medium">
        <color theme="3"/>
      </top>
      <bottom/>
      <diagonal/>
    </border>
    <border>
      <left style="thin">
        <color theme="3"/>
      </left>
      <right style="medium">
        <color theme="3"/>
      </right>
      <top style="medium">
        <color theme="3"/>
      </top>
      <bottom/>
      <diagonal/>
    </border>
    <border>
      <left style="medium">
        <color indexed="64"/>
      </left>
      <right style="thin">
        <color theme="3"/>
      </right>
      <top style="medium">
        <color indexed="64"/>
      </top>
      <bottom style="thin">
        <color theme="3"/>
      </bottom>
      <diagonal/>
    </border>
    <border>
      <left style="thin">
        <color theme="3"/>
      </left>
      <right style="thin">
        <color theme="3"/>
      </right>
      <top style="medium">
        <color indexed="64"/>
      </top>
      <bottom style="thin">
        <color theme="3"/>
      </bottom>
      <diagonal/>
    </border>
    <border>
      <left style="thin">
        <color theme="3"/>
      </left>
      <right style="thin">
        <color theme="3"/>
      </right>
      <top style="medium">
        <color indexed="64"/>
      </top>
      <bottom/>
      <diagonal/>
    </border>
    <border>
      <left style="thin">
        <color theme="3"/>
      </left>
      <right style="medium">
        <color indexed="64"/>
      </right>
      <top style="medium">
        <color indexed="64"/>
      </top>
      <bottom/>
      <diagonal/>
    </border>
    <border>
      <left style="medium">
        <color indexed="64"/>
      </left>
      <right style="thin">
        <color theme="3"/>
      </right>
      <top style="thin">
        <color theme="3"/>
      </top>
      <bottom style="thin">
        <color theme="3"/>
      </bottom>
      <diagonal/>
    </border>
    <border>
      <left style="thin">
        <color theme="3"/>
      </left>
      <right style="thin">
        <color theme="3"/>
      </right>
      <top style="thin">
        <color theme="3"/>
      </top>
      <bottom style="thin">
        <color theme="3"/>
      </bottom>
      <diagonal/>
    </border>
    <border>
      <left style="thin">
        <color theme="3"/>
      </left>
      <right style="thin">
        <color theme="3"/>
      </right>
      <top/>
      <bottom/>
      <diagonal/>
    </border>
    <border>
      <left style="thin">
        <color theme="3"/>
      </left>
      <right style="medium">
        <color indexed="64"/>
      </right>
      <top/>
      <bottom/>
      <diagonal/>
    </border>
    <border>
      <left style="medium">
        <color indexed="64"/>
      </left>
      <right style="thin">
        <color theme="3"/>
      </right>
      <top style="thin">
        <color theme="3"/>
      </top>
      <bottom style="medium">
        <color indexed="64"/>
      </bottom>
      <diagonal/>
    </border>
    <border>
      <left style="thin">
        <color theme="3"/>
      </left>
      <right style="thin">
        <color theme="3"/>
      </right>
      <top style="thin">
        <color theme="3"/>
      </top>
      <bottom style="medium">
        <color indexed="64"/>
      </bottom>
      <diagonal/>
    </border>
    <border>
      <left style="thin">
        <color theme="3"/>
      </left>
      <right style="thin">
        <color theme="3"/>
      </right>
      <top/>
      <bottom style="medium">
        <color indexed="64"/>
      </bottom>
      <diagonal/>
    </border>
    <border>
      <left style="thin">
        <color theme="3"/>
      </left>
      <right style="medium">
        <color indexed="64"/>
      </right>
      <top/>
      <bottom style="medium">
        <color indexed="64"/>
      </bottom>
      <diagonal/>
    </border>
    <border>
      <left style="thin">
        <color indexed="64"/>
      </left>
      <right style="thin">
        <color theme="4" tint="0.79998168889431442"/>
      </right>
      <top style="thin">
        <color indexed="64"/>
      </top>
      <bottom style="thin">
        <color indexed="64"/>
      </bottom>
      <diagonal/>
    </border>
    <border>
      <left style="thin">
        <color theme="4" tint="0.79998168889431442"/>
      </left>
      <right style="thin">
        <color theme="4" tint="0.79998168889431442"/>
      </right>
      <top style="thin">
        <color indexed="64"/>
      </top>
      <bottom style="thin">
        <color indexed="64"/>
      </bottom>
      <diagonal/>
    </border>
    <border>
      <left style="thin">
        <color theme="4" tint="0.79998168889431442"/>
      </left>
      <right style="thin">
        <color indexed="64"/>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8">
    <xf numFmtId="0" fontId="0" fillId="0" borderId="0"/>
    <xf numFmtId="43" fontId="3" fillId="0" borderId="0" applyFont="0" applyFill="0" applyBorder="0" applyAlignment="0" applyProtection="0"/>
    <xf numFmtId="44" fontId="3" fillId="0" borderId="0" applyFont="0" applyFill="0" applyBorder="0" applyAlignment="0" applyProtection="0"/>
    <xf numFmtId="0" fontId="9" fillId="0" borderId="0"/>
    <xf numFmtId="0" fontId="10" fillId="0" borderId="0"/>
    <xf numFmtId="0" fontId="15" fillId="0" borderId="0" applyNumberFormat="0" applyFill="0" applyBorder="0" applyAlignment="0" applyProtection="0"/>
    <xf numFmtId="9" fontId="3" fillId="0" borderId="0" applyFont="0" applyFill="0" applyBorder="0" applyAlignment="0" applyProtection="0"/>
    <xf numFmtId="0" fontId="9" fillId="0" borderId="0"/>
  </cellStyleXfs>
  <cellXfs count="983">
    <xf numFmtId="0" fontId="0" fillId="0" borderId="0" xfId="0"/>
    <xf numFmtId="0" fontId="0" fillId="0" borderId="0" xfId="0" applyAlignment="1">
      <alignment horizontal="center"/>
    </xf>
    <xf numFmtId="0" fontId="0" fillId="0" borderId="1" xfId="0" applyBorder="1" applyAlignment="1">
      <alignment horizontal="center"/>
    </xf>
    <xf numFmtId="0" fontId="0" fillId="0" borderId="0" xfId="0" applyAlignment="1">
      <alignment horizontal="left"/>
    </xf>
    <xf numFmtId="0" fontId="0" fillId="0" borderId="1" xfId="0" applyBorder="1" applyAlignment="1">
      <alignment horizontal="left"/>
    </xf>
    <xf numFmtId="0" fontId="0" fillId="4" borderId="1" xfId="0" applyFill="1" applyBorder="1" applyAlignment="1">
      <alignment horizontal="center"/>
    </xf>
    <xf numFmtId="0" fontId="1" fillId="0" borderId="0" xfId="0" applyFont="1"/>
    <xf numFmtId="0" fontId="5" fillId="0" borderId="0" xfId="0" applyFont="1"/>
    <xf numFmtId="0" fontId="1" fillId="6" borderId="3" xfId="0" applyFont="1" applyFill="1" applyBorder="1"/>
    <xf numFmtId="0" fontId="1" fillId="6" borderId="3" xfId="0" applyFont="1" applyFill="1" applyBorder="1" applyAlignment="1">
      <alignment horizontal="center" wrapText="1"/>
    </xf>
    <xf numFmtId="0" fontId="1" fillId="6" borderId="3" xfId="0" applyFont="1" applyFill="1" applyBorder="1" applyAlignment="1">
      <alignment horizontal="center"/>
    </xf>
    <xf numFmtId="0" fontId="1" fillId="6" borderId="3" xfId="0" applyFont="1" applyFill="1" applyBorder="1" applyAlignment="1">
      <alignment horizontal="left"/>
    </xf>
    <xf numFmtId="0" fontId="1" fillId="7" borderId="0" xfId="0" applyFont="1" applyFill="1"/>
    <xf numFmtId="0" fontId="0" fillId="7" borderId="0" xfId="0" applyFill="1"/>
    <xf numFmtId="0" fontId="1" fillId="5" borderId="0" xfId="0" applyFont="1" applyFill="1"/>
    <xf numFmtId="0" fontId="0" fillId="5" borderId="0" xfId="0" applyFill="1"/>
    <xf numFmtId="0" fontId="0" fillId="5" borderId="0" xfId="0" applyFill="1" applyAlignment="1">
      <alignment horizontal="center"/>
    </xf>
    <xf numFmtId="0" fontId="0" fillId="5" borderId="0" xfId="0" applyFill="1" applyAlignment="1">
      <alignment horizontal="left"/>
    </xf>
    <xf numFmtId="0" fontId="5" fillId="5" borderId="0" xfId="0" applyFont="1" applyFill="1"/>
    <xf numFmtId="0" fontId="1" fillId="6" borderId="5" xfId="0" applyFont="1" applyFill="1" applyBorder="1" applyAlignment="1">
      <alignment horizontal="centerContinuous"/>
    </xf>
    <xf numFmtId="0" fontId="1" fillId="6" borderId="9" xfId="0" applyFont="1" applyFill="1" applyBorder="1" applyAlignment="1">
      <alignment horizontal="centerContinuous"/>
    </xf>
    <xf numFmtId="0" fontId="1" fillId="0" borderId="0" xfId="0" applyFont="1" applyAlignment="1">
      <alignment horizontal="left"/>
    </xf>
    <xf numFmtId="0" fontId="0" fillId="0" borderId="3" xfId="0" applyBorder="1" applyAlignment="1">
      <alignment horizontal="left"/>
    </xf>
    <xf numFmtId="0" fontId="0" fillId="0" borderId="3" xfId="0" applyBorder="1"/>
    <xf numFmtId="0" fontId="6" fillId="3" borderId="0" xfId="0" applyFont="1" applyFill="1" applyAlignment="1">
      <alignment horizontal="left"/>
    </xf>
    <xf numFmtId="9" fontId="0" fillId="0" borderId="6" xfId="0" applyNumberFormat="1" applyBorder="1" applyAlignment="1">
      <alignment horizontal="center"/>
    </xf>
    <xf numFmtId="9" fontId="0" fillId="0" borderId="0" xfId="0" applyNumberFormat="1" applyAlignment="1">
      <alignment horizontal="center"/>
    </xf>
    <xf numFmtId="9" fontId="0" fillId="5" borderId="0" xfId="0" applyNumberFormat="1" applyFill="1"/>
    <xf numFmtId="9" fontId="0" fillId="0" borderId="0" xfId="0" applyNumberFormat="1"/>
    <xf numFmtId="8" fontId="0" fillId="0" borderId="0" xfId="0" applyNumberFormat="1"/>
    <xf numFmtId="0" fontId="6" fillId="3" borderId="0" xfId="0" applyFont="1" applyFill="1" applyAlignment="1">
      <alignment wrapText="1"/>
    </xf>
    <xf numFmtId="165" fontId="0" fillId="0" borderId="3" xfId="0" applyNumberFormat="1" applyBorder="1" applyAlignment="1">
      <alignment horizontal="center"/>
    </xf>
    <xf numFmtId="9" fontId="0" fillId="4" borderId="1" xfId="0" applyNumberFormat="1" applyFill="1" applyBorder="1" applyAlignment="1">
      <alignment horizontal="center"/>
    </xf>
    <xf numFmtId="0" fontId="0" fillId="4" borderId="1" xfId="0" applyFill="1" applyBorder="1" applyAlignment="1">
      <alignment horizontal="left"/>
    </xf>
    <xf numFmtId="0" fontId="0" fillId="0" borderId="16" xfId="0" applyBorder="1" applyAlignment="1">
      <alignment horizontal="left"/>
    </xf>
    <xf numFmtId="0" fontId="4" fillId="0" borderId="0" xfId="0" applyFont="1" applyAlignment="1">
      <alignment horizontal="center"/>
    </xf>
    <xf numFmtId="0" fontId="0" fillId="0" borderId="0" xfId="0" applyAlignment="1">
      <alignment wrapText="1"/>
    </xf>
    <xf numFmtId="0" fontId="0" fillId="4" borderId="0" xfId="0" applyFill="1" applyAlignment="1">
      <alignment horizontal="center"/>
    </xf>
    <xf numFmtId="164" fontId="0" fillId="0" borderId="1" xfId="0" applyNumberFormat="1" applyBorder="1" applyAlignment="1">
      <alignment horizontal="center"/>
    </xf>
    <xf numFmtId="0" fontId="6" fillId="3" borderId="0" xfId="0" applyFont="1" applyFill="1" applyAlignment="1">
      <alignment horizontal="center" wrapText="1"/>
    </xf>
    <xf numFmtId="0" fontId="1" fillId="7" borderId="0" xfId="0" applyFont="1" applyFill="1" applyAlignment="1">
      <alignment horizontal="right"/>
    </xf>
    <xf numFmtId="0" fontId="4" fillId="4" borderId="7" xfId="0" applyFont="1" applyFill="1" applyBorder="1" applyAlignment="1">
      <alignment horizontal="center"/>
    </xf>
    <xf numFmtId="169" fontId="0" fillId="0" borderId="0" xfId="0" applyNumberFormat="1" applyAlignment="1">
      <alignment horizontal="center"/>
    </xf>
    <xf numFmtId="169" fontId="1" fillId="6" borderId="8" xfId="0" applyNumberFormat="1" applyFont="1" applyFill="1" applyBorder="1" applyAlignment="1">
      <alignment horizontal="centerContinuous"/>
    </xf>
    <xf numFmtId="169" fontId="1" fillId="6" borderId="3" xfId="0" applyNumberFormat="1" applyFont="1" applyFill="1" applyBorder="1" applyAlignment="1">
      <alignment horizontal="center"/>
    </xf>
    <xf numFmtId="169" fontId="0" fillId="5" borderId="0" xfId="0" applyNumberFormat="1" applyFill="1" applyAlignment="1">
      <alignment horizontal="center"/>
    </xf>
    <xf numFmtId="169" fontId="0" fillId="0" borderId="1" xfId="0" applyNumberFormat="1" applyBorder="1" applyAlignment="1">
      <alignment horizontal="center"/>
    </xf>
    <xf numFmtId="169" fontId="0" fillId="4" borderId="1" xfId="0" applyNumberFormat="1" applyFill="1" applyBorder="1" applyAlignment="1">
      <alignment horizontal="center"/>
    </xf>
    <xf numFmtId="169" fontId="0" fillId="0" borderId="16" xfId="0" applyNumberFormat="1" applyBorder="1" applyAlignment="1">
      <alignment horizontal="center"/>
    </xf>
    <xf numFmtId="169" fontId="1" fillId="6" borderId="5" xfId="0" applyNumberFormat="1" applyFont="1" applyFill="1" applyBorder="1" applyAlignment="1">
      <alignment horizontal="centerContinuous"/>
    </xf>
    <xf numFmtId="8" fontId="1" fillId="6" borderId="3" xfId="0" applyNumberFormat="1" applyFont="1" applyFill="1" applyBorder="1" applyAlignment="1">
      <alignment horizontal="center" wrapText="1"/>
    </xf>
    <xf numFmtId="8" fontId="0" fillId="5" borderId="0" xfId="0" applyNumberFormat="1" applyFill="1"/>
    <xf numFmtId="8" fontId="4" fillId="7" borderId="7" xfId="0" applyNumberFormat="1" applyFont="1" applyFill="1" applyBorder="1" applyAlignment="1">
      <alignment horizontal="center"/>
    </xf>
    <xf numFmtId="8" fontId="0" fillId="0" borderId="0" xfId="0" applyNumberFormat="1" applyAlignment="1">
      <alignment horizontal="center"/>
    </xf>
    <xf numFmtId="8" fontId="0" fillId="5" borderId="0" xfId="0" applyNumberFormat="1" applyFill="1" applyAlignment="1">
      <alignment horizontal="center"/>
    </xf>
    <xf numFmtId="8" fontId="4" fillId="0" borderId="0" xfId="0" applyNumberFormat="1" applyFont="1" applyAlignment="1">
      <alignment horizontal="center"/>
    </xf>
    <xf numFmtId="169" fontId="0" fillId="0" borderId="1" xfId="0" applyNumberFormat="1" applyBorder="1" applyAlignment="1">
      <alignment horizontal="left"/>
    </xf>
    <xf numFmtId="169" fontId="0" fillId="0" borderId="3" xfId="0" applyNumberFormat="1" applyBorder="1" applyAlignment="1">
      <alignment horizontal="center"/>
    </xf>
    <xf numFmtId="0" fontId="0" fillId="4" borderId="1" xfId="0" applyFill="1" applyBorder="1" applyAlignment="1">
      <alignment horizontal="left" wrapText="1"/>
    </xf>
    <xf numFmtId="0" fontId="0" fillId="0" borderId="3" xfId="0" applyBorder="1" applyAlignment="1">
      <alignment horizontal="center"/>
    </xf>
    <xf numFmtId="0" fontId="10" fillId="0" borderId="0" xfId="4" applyAlignment="1">
      <alignment horizontal="left" vertical="top"/>
    </xf>
    <xf numFmtId="0" fontId="11" fillId="0" borderId="0" xfId="0" applyFont="1"/>
    <xf numFmtId="0" fontId="0" fillId="0" borderId="0" xfId="0" applyAlignment="1">
      <alignment horizontal="center" vertical="center"/>
    </xf>
    <xf numFmtId="0" fontId="0" fillId="0" borderId="3" xfId="0" applyBorder="1" applyAlignment="1">
      <alignment horizontal="center" vertical="center"/>
    </xf>
    <xf numFmtId="0" fontId="0" fillId="0" borderId="3" xfId="0" applyBorder="1" applyAlignment="1">
      <alignment wrapText="1"/>
    </xf>
    <xf numFmtId="0" fontId="13" fillId="0" borderId="0" xfId="0" applyFont="1" applyAlignment="1">
      <alignment horizontal="left" vertical="center" wrapText="1"/>
    </xf>
    <xf numFmtId="0" fontId="13" fillId="0" borderId="0" xfId="0" applyFont="1" applyAlignment="1">
      <alignment vertical="center" wrapText="1"/>
    </xf>
    <xf numFmtId="169" fontId="0" fillId="0" borderId="33" xfId="0" applyNumberFormat="1" applyBorder="1" applyAlignment="1">
      <alignment horizontal="center"/>
    </xf>
    <xf numFmtId="169" fontId="0" fillId="0" borderId="12" xfId="0" applyNumberFormat="1" applyBorder="1" applyAlignment="1">
      <alignment horizontal="center"/>
    </xf>
    <xf numFmtId="169" fontId="0" fillId="4" borderId="2" xfId="0" applyNumberFormat="1" applyFill="1" applyBorder="1" applyAlignment="1">
      <alignment horizontal="center"/>
    </xf>
    <xf numFmtId="0" fontId="18" fillId="8" borderId="23" xfId="3" applyFont="1" applyFill="1" applyBorder="1" applyAlignment="1">
      <alignment horizontal="left" vertical="top" wrapText="1"/>
    </xf>
    <xf numFmtId="0" fontId="17" fillId="0" borderId="25" xfId="3" applyFont="1" applyBorder="1" applyAlignment="1">
      <alignment horizontal="left" vertical="top" wrapText="1"/>
    </xf>
    <xf numFmtId="0" fontId="17" fillId="0" borderId="26" xfId="3" applyFont="1" applyBorder="1" applyAlignment="1">
      <alignment horizontal="left" vertical="top" wrapText="1"/>
    </xf>
    <xf numFmtId="0" fontId="17" fillId="0" borderId="27" xfId="3" applyFont="1" applyBorder="1" applyAlignment="1">
      <alignment horizontal="left" vertical="top" wrapText="1"/>
    </xf>
    <xf numFmtId="0" fontId="19" fillId="0" borderId="28" xfId="3" applyFont="1" applyBorder="1" applyAlignment="1">
      <alignment horizontal="left" vertical="top" wrapText="1"/>
    </xf>
    <xf numFmtId="0" fontId="17" fillId="0" borderId="3" xfId="3" applyFont="1" applyBorder="1" applyAlignment="1">
      <alignment horizontal="left" vertical="top" wrapText="1"/>
    </xf>
    <xf numFmtId="0" fontId="17" fillId="0" borderId="29" xfId="3" applyFont="1" applyBorder="1" applyAlignment="1">
      <alignment horizontal="left" vertical="top" wrapText="1"/>
    </xf>
    <xf numFmtId="0" fontId="19" fillId="0" borderId="30" xfId="3" applyFont="1" applyBorder="1" applyAlignment="1">
      <alignment horizontal="left" vertical="top" wrapText="1"/>
    </xf>
    <xf numFmtId="0" fontId="17" fillId="0" borderId="31" xfId="3" applyFont="1" applyBorder="1" applyAlignment="1">
      <alignment horizontal="left" vertical="top" wrapText="1"/>
    </xf>
    <xf numFmtId="0" fontId="17" fillId="0" borderId="32" xfId="3" applyFont="1" applyBorder="1" applyAlignment="1">
      <alignment horizontal="left" vertical="top" wrapText="1"/>
    </xf>
    <xf numFmtId="0" fontId="18" fillId="0" borderId="28" xfId="3" applyFont="1" applyBorder="1" applyAlignment="1">
      <alignment horizontal="left" vertical="top" wrapText="1"/>
    </xf>
    <xf numFmtId="0" fontId="17" fillId="0" borderId="3" xfId="3" applyFont="1" applyBorder="1" applyAlignment="1">
      <alignment horizontal="center" vertical="top" wrapText="1"/>
    </xf>
    <xf numFmtId="0" fontId="17" fillId="0" borderId="31" xfId="3" applyFont="1" applyBorder="1" applyAlignment="1">
      <alignment horizontal="center" vertical="top" wrapText="1"/>
    </xf>
    <xf numFmtId="0" fontId="18" fillId="0" borderId="24" xfId="3" applyFont="1" applyBorder="1" applyAlignment="1">
      <alignment horizontal="center" vertical="top" wrapText="1"/>
    </xf>
    <xf numFmtId="0" fontId="18" fillId="0" borderId="22" xfId="3" applyFont="1" applyBorder="1" applyAlignment="1">
      <alignment horizontal="center" vertical="top" wrapText="1"/>
    </xf>
    <xf numFmtId="0" fontId="17" fillId="0" borderId="26" xfId="3" applyFont="1" applyBorder="1" applyAlignment="1">
      <alignment horizontal="center" vertical="top" wrapText="1"/>
    </xf>
    <xf numFmtId="0" fontId="19" fillId="0" borderId="28" xfId="3" applyFont="1" applyBorder="1" applyAlignment="1">
      <alignment horizontal="left" vertical="top" wrapText="1" indent="2"/>
    </xf>
    <xf numFmtId="0" fontId="19" fillId="0" borderId="28" xfId="3" applyFont="1" applyBorder="1" applyAlignment="1">
      <alignment horizontal="left" vertical="top" wrapText="1" indent="4"/>
    </xf>
    <xf numFmtId="0" fontId="18" fillId="0" borderId="28" xfId="3" applyFont="1" applyBorder="1" applyAlignment="1">
      <alignment horizontal="left" vertical="top"/>
    </xf>
    <xf numFmtId="0" fontId="17" fillId="0" borderId="3" xfId="3" applyFont="1" applyBorder="1" applyAlignment="1">
      <alignment horizontal="center" vertical="top"/>
    </xf>
    <xf numFmtId="0" fontId="17" fillId="0" borderId="29" xfId="3" applyFont="1" applyBorder="1" applyAlignment="1">
      <alignment horizontal="left" vertical="top"/>
    </xf>
    <xf numFmtId="0" fontId="19" fillId="0" borderId="30" xfId="3" applyFont="1" applyBorder="1" applyAlignment="1">
      <alignment horizontal="left" vertical="top" wrapText="1" indent="2"/>
    </xf>
    <xf numFmtId="0" fontId="1" fillId="0" borderId="3" xfId="0" applyFont="1" applyBorder="1" applyAlignment="1">
      <alignment horizontal="center" vertical="center"/>
    </xf>
    <xf numFmtId="0" fontId="1" fillId="0" borderId="3" xfId="0" applyFont="1" applyBorder="1" applyAlignment="1">
      <alignment horizontal="center" vertical="center" wrapText="1"/>
    </xf>
    <xf numFmtId="3" fontId="0" fillId="0" borderId="3" xfId="0" applyNumberFormat="1" applyBorder="1"/>
    <xf numFmtId="0" fontId="0" fillId="15" borderId="0" xfId="0" applyFill="1"/>
    <xf numFmtId="169" fontId="0" fillId="0" borderId="2" xfId="0" applyNumberFormat="1" applyBorder="1" applyAlignment="1">
      <alignment horizontal="center"/>
    </xf>
    <xf numFmtId="169" fontId="0" fillId="0" borderId="13" xfId="0" applyNumberFormat="1" applyBorder="1" applyAlignment="1">
      <alignment horizontal="center"/>
    </xf>
    <xf numFmtId="169" fontId="0" fillId="22" borderId="1" xfId="0" applyNumberFormat="1" applyFill="1" applyBorder="1" applyAlignment="1">
      <alignment horizontal="center"/>
    </xf>
    <xf numFmtId="0" fontId="0" fillId="0" borderId="16" xfId="0" applyBorder="1"/>
    <xf numFmtId="6" fontId="0" fillId="2" borderId="3" xfId="0" applyNumberFormat="1" applyFill="1" applyBorder="1"/>
    <xf numFmtId="9" fontId="0" fillId="2" borderId="3" xfId="6" applyFont="1" applyFill="1" applyBorder="1"/>
    <xf numFmtId="0" fontId="0" fillId="2" borderId="3" xfId="0" applyFill="1" applyBorder="1"/>
    <xf numFmtId="0" fontId="0" fillId="0" borderId="0" xfId="0" applyAlignment="1">
      <alignment horizontal="center" vertical="center" wrapText="1"/>
    </xf>
    <xf numFmtId="170" fontId="0" fillId="23" borderId="3" xfId="0" applyNumberFormat="1" applyFill="1" applyBorder="1" applyAlignment="1">
      <alignment horizontal="center" vertical="center" wrapText="1"/>
    </xf>
    <xf numFmtId="170" fontId="0" fillId="0" borderId="0" xfId="0" applyNumberFormat="1" applyAlignment="1">
      <alignment horizontal="center" vertical="center" wrapText="1"/>
    </xf>
    <xf numFmtId="0" fontId="0" fillId="0" borderId="16" xfId="0" applyBorder="1" applyAlignment="1">
      <alignment horizontal="center" vertical="center" wrapText="1"/>
    </xf>
    <xf numFmtId="0" fontId="21" fillId="0" borderId="3" xfId="0" applyFont="1" applyBorder="1" applyAlignment="1">
      <alignment wrapText="1"/>
    </xf>
    <xf numFmtId="0" fontId="0" fillId="0" borderId="4" xfId="0" applyBorder="1"/>
    <xf numFmtId="0" fontId="1" fillId="0" borderId="0" xfId="0" applyFont="1" applyAlignment="1">
      <alignment horizontal="right"/>
    </xf>
    <xf numFmtId="6" fontId="1" fillId="0" borderId="0" xfId="0" applyNumberFormat="1" applyFont="1"/>
    <xf numFmtId="167" fontId="1" fillId="0" borderId="0" xfId="0" applyNumberFormat="1" applyFont="1"/>
    <xf numFmtId="164" fontId="1" fillId="0" borderId="0" xfId="0" applyNumberFormat="1" applyFont="1"/>
    <xf numFmtId="0" fontId="0" fillId="7" borderId="3" xfId="0" applyFill="1" applyBorder="1"/>
    <xf numFmtId="0" fontId="0" fillId="9" borderId="3" xfId="0" applyFill="1" applyBorder="1"/>
    <xf numFmtId="0" fontId="0" fillId="10" borderId="3" xfId="0" applyFill="1" applyBorder="1"/>
    <xf numFmtId="0" fontId="0" fillId="5" borderId="3" xfId="0" applyFill="1" applyBorder="1"/>
    <xf numFmtId="0" fontId="0" fillId="11" borderId="3" xfId="0" applyFill="1" applyBorder="1"/>
    <xf numFmtId="0" fontId="0" fillId="12" borderId="3" xfId="0" applyFill="1" applyBorder="1"/>
    <xf numFmtId="0" fontId="0" fillId="13" borderId="3" xfId="0" applyFill="1" applyBorder="1"/>
    <xf numFmtId="0" fontId="0" fillId="14" borderId="3" xfId="0" applyFill="1" applyBorder="1"/>
    <xf numFmtId="0" fontId="0" fillId="15" borderId="3" xfId="0" applyFill="1" applyBorder="1"/>
    <xf numFmtId="0" fontId="0" fillId="16" borderId="3" xfId="0" applyFill="1" applyBorder="1"/>
    <xf numFmtId="0" fontId="0" fillId="17" borderId="3" xfId="0" applyFill="1" applyBorder="1"/>
    <xf numFmtId="0" fontId="0" fillId="18" borderId="3" xfId="0" applyFill="1" applyBorder="1"/>
    <xf numFmtId="0" fontId="0" fillId="19" borderId="3" xfId="0" applyFill="1" applyBorder="1"/>
    <xf numFmtId="0" fontId="1" fillId="0" borderId="3" xfId="0" applyFont="1" applyBorder="1"/>
    <xf numFmtId="0" fontId="1" fillId="0" borderId="3" xfId="0" applyFont="1" applyBorder="1" applyAlignment="1">
      <alignment horizontal="center" wrapText="1"/>
    </xf>
    <xf numFmtId="0" fontId="0" fillId="20" borderId="3" xfId="0" applyFill="1" applyBorder="1"/>
    <xf numFmtId="0" fontId="0" fillId="3" borderId="3" xfId="0" applyFill="1" applyBorder="1" applyAlignment="1">
      <alignment horizontal="right"/>
    </xf>
    <xf numFmtId="0" fontId="0" fillId="3" borderId="3" xfId="0" applyFill="1" applyBorder="1"/>
    <xf numFmtId="0" fontId="0" fillId="7" borderId="3" xfId="0" applyFill="1" applyBorder="1" applyAlignment="1">
      <alignment wrapText="1"/>
    </xf>
    <xf numFmtId="0" fontId="0" fillId="9" borderId="3" xfId="0" applyFill="1" applyBorder="1" applyAlignment="1">
      <alignment wrapText="1"/>
    </xf>
    <xf numFmtId="0" fontId="0" fillId="10" borderId="3" xfId="0" applyFill="1" applyBorder="1" applyAlignment="1">
      <alignment wrapText="1"/>
    </xf>
    <xf numFmtId="0" fontId="0" fillId="5" borderId="3" xfId="0" applyFill="1" applyBorder="1" applyAlignment="1">
      <alignment wrapText="1"/>
    </xf>
    <xf numFmtId="0" fontId="0" fillId="11" borderId="3" xfId="0" applyFill="1" applyBorder="1" applyAlignment="1">
      <alignment wrapText="1"/>
    </xf>
    <xf numFmtId="0" fontId="0" fillId="12" borderId="3" xfId="0" applyFill="1" applyBorder="1" applyAlignment="1">
      <alignment wrapText="1"/>
    </xf>
    <xf numFmtId="0" fontId="0" fillId="13" borderId="3" xfId="0" applyFill="1" applyBorder="1" applyAlignment="1">
      <alignment wrapText="1"/>
    </xf>
    <xf numFmtId="0" fontId="0" fillId="14" borderId="3" xfId="0" applyFill="1" applyBorder="1" applyAlignment="1">
      <alignment wrapText="1"/>
    </xf>
    <xf numFmtId="0" fontId="0" fillId="15" borderId="3" xfId="0" applyFill="1" applyBorder="1" applyAlignment="1">
      <alignment wrapText="1"/>
    </xf>
    <xf numFmtId="0" fontId="0" fillId="16" borderId="3" xfId="0" applyFill="1" applyBorder="1" applyAlignment="1">
      <alignment wrapText="1"/>
    </xf>
    <xf numFmtId="0" fontId="0" fillId="17" borderId="3" xfId="0" applyFill="1" applyBorder="1" applyAlignment="1">
      <alignment wrapText="1"/>
    </xf>
    <xf numFmtId="0" fontId="0" fillId="18" borderId="3" xfId="0" applyFill="1" applyBorder="1" applyAlignment="1">
      <alignment wrapText="1"/>
    </xf>
    <xf numFmtId="0" fontId="0" fillId="19" borderId="3" xfId="0" applyFill="1" applyBorder="1" applyAlignment="1">
      <alignment wrapText="1"/>
    </xf>
    <xf numFmtId="170" fontId="0" fillId="23" borderId="9" xfId="0" applyNumberFormat="1" applyFill="1" applyBorder="1" applyAlignment="1">
      <alignment horizontal="center" vertical="center" wrapText="1"/>
    </xf>
    <xf numFmtId="0" fontId="1" fillId="23" borderId="8" xfId="0" applyFont="1" applyFill="1" applyBorder="1" applyAlignment="1">
      <alignment horizontal="center" vertical="center" wrapText="1"/>
    </xf>
    <xf numFmtId="0" fontId="23" fillId="0" borderId="0" xfId="0" applyFont="1" applyAlignment="1">
      <alignment horizontal="center" vertical="center" wrapText="1"/>
    </xf>
    <xf numFmtId="3" fontId="1" fillId="0" borderId="0" xfId="0" applyNumberFormat="1" applyFont="1" applyAlignment="1">
      <alignment horizontal="center" vertical="center" wrapText="1"/>
    </xf>
    <xf numFmtId="3" fontId="1" fillId="23" borderId="3" xfId="0" applyNumberFormat="1" applyFont="1" applyFill="1" applyBorder="1" applyAlignment="1">
      <alignment horizontal="center" vertical="center" wrapText="1"/>
    </xf>
    <xf numFmtId="1" fontId="1" fillId="23" borderId="9" xfId="0" applyNumberFormat="1" applyFont="1" applyFill="1" applyBorder="1" applyAlignment="1">
      <alignment horizontal="center" vertical="center" wrapText="1"/>
    </xf>
    <xf numFmtId="0" fontId="1" fillId="0" borderId="0" xfId="0" applyFont="1" applyAlignment="1">
      <alignment horizontal="center" vertical="center" wrapText="1"/>
    </xf>
    <xf numFmtId="0" fontId="1" fillId="23" borderId="43" xfId="0" applyFont="1" applyFill="1" applyBorder="1" applyAlignment="1">
      <alignment horizontal="center" vertical="center" wrapText="1"/>
    </xf>
    <xf numFmtId="3" fontId="1" fillId="23" borderId="43" xfId="0" applyNumberFormat="1" applyFont="1" applyFill="1" applyBorder="1" applyAlignment="1">
      <alignment horizontal="center" vertical="center" wrapText="1"/>
    </xf>
    <xf numFmtId="171" fontId="0" fillId="23" borderId="3" xfId="0" applyNumberFormat="1" applyFill="1" applyBorder="1" applyAlignment="1">
      <alignment horizontal="center" vertical="center" wrapText="1"/>
    </xf>
    <xf numFmtId="3" fontId="0" fillId="23" borderId="3" xfId="0" applyNumberFormat="1" applyFill="1" applyBorder="1" applyAlignment="1">
      <alignment horizontal="center" vertical="center" wrapText="1"/>
    </xf>
    <xf numFmtId="0" fontId="0" fillId="24" borderId="3" xfId="0" applyFill="1" applyBorder="1" applyAlignment="1">
      <alignment horizontal="center" vertical="center" wrapText="1"/>
    </xf>
    <xf numFmtId="171" fontId="0" fillId="23" borderId="43" xfId="0" applyNumberFormat="1" applyFill="1" applyBorder="1" applyAlignment="1">
      <alignment horizontal="center" vertical="center" wrapText="1"/>
    </xf>
    <xf numFmtId="3" fontId="0" fillId="23" borderId="43" xfId="0" applyNumberFormat="1" applyFill="1" applyBorder="1" applyAlignment="1">
      <alignment horizontal="center" vertical="center" wrapText="1"/>
    </xf>
    <xf numFmtId="0" fontId="0" fillId="24" borderId="43" xfId="0" applyFill="1" applyBorder="1" applyAlignment="1">
      <alignment horizontal="center" vertical="center" wrapText="1"/>
    </xf>
    <xf numFmtId="0" fontId="1" fillId="25" borderId="2" xfId="0" applyFont="1" applyFill="1" applyBorder="1" applyAlignment="1">
      <alignment horizontal="center" vertical="center" wrapText="1"/>
    </xf>
    <xf numFmtId="0" fontId="1" fillId="25" borderId="44" xfId="0" applyFont="1" applyFill="1" applyBorder="1" applyAlignment="1">
      <alignment horizontal="center" vertical="center" wrapText="1"/>
    </xf>
    <xf numFmtId="0" fontId="1" fillId="25" borderId="45" xfId="0" applyFont="1" applyFill="1" applyBorder="1" applyAlignment="1">
      <alignment horizontal="center" vertical="center" wrapText="1"/>
    </xf>
    <xf numFmtId="0" fontId="1" fillId="25" borderId="46" xfId="0" applyFont="1" applyFill="1" applyBorder="1" applyAlignment="1">
      <alignment horizontal="center" vertical="center" wrapText="1"/>
    </xf>
    <xf numFmtId="0" fontId="1" fillId="25" borderId="1" xfId="0" applyFont="1" applyFill="1" applyBorder="1" applyAlignment="1">
      <alignment horizontal="center" vertical="center" wrapText="1"/>
    </xf>
    <xf numFmtId="0" fontId="1" fillId="23" borderId="3" xfId="0" applyFont="1" applyFill="1" applyBorder="1" applyAlignment="1">
      <alignment horizontal="center" vertical="center" wrapText="1"/>
    </xf>
    <xf numFmtId="1" fontId="1" fillId="23" borderId="3" xfId="0" applyNumberFormat="1" applyFont="1" applyFill="1" applyBorder="1" applyAlignment="1">
      <alignment horizontal="center" vertical="center" wrapText="1"/>
    </xf>
    <xf numFmtId="0" fontId="0" fillId="23" borderId="3" xfId="0" applyFill="1" applyBorder="1" applyAlignment="1">
      <alignment horizontal="center" vertical="center" wrapText="1"/>
    </xf>
    <xf numFmtId="0" fontId="1" fillId="0" borderId="47" xfId="0" applyFont="1" applyBorder="1" applyAlignment="1">
      <alignment horizontal="center" vertical="center" wrapText="1"/>
    </xf>
    <xf numFmtId="0" fontId="0" fillId="0" borderId="11" xfId="0" applyBorder="1" applyAlignment="1">
      <alignment horizontal="center" vertical="center" wrapText="1"/>
    </xf>
    <xf numFmtId="0" fontId="1" fillId="25" borderId="37" xfId="0" applyFont="1" applyFill="1" applyBorder="1" applyAlignment="1">
      <alignment horizontal="center" vertical="center" wrapText="1"/>
    </xf>
    <xf numFmtId="170" fontId="1" fillId="23" borderId="3" xfId="0" applyNumberFormat="1" applyFont="1" applyFill="1" applyBorder="1" applyAlignment="1">
      <alignment horizontal="center" vertical="center" wrapText="1"/>
    </xf>
    <xf numFmtId="0" fontId="1" fillId="23" borderId="3" xfId="0" quotePrefix="1" applyFont="1" applyFill="1" applyBorder="1" applyAlignment="1">
      <alignment horizontal="center" vertical="center" wrapText="1"/>
    </xf>
    <xf numFmtId="0" fontId="11" fillId="0" borderId="0" xfId="0" applyFont="1" applyAlignment="1">
      <alignment horizontal="center" vertical="center" wrapText="1"/>
    </xf>
    <xf numFmtId="0" fontId="1" fillId="25" borderId="3" xfId="0" applyFont="1" applyFill="1" applyBorder="1" applyAlignment="1">
      <alignment horizontal="center" vertical="center" wrapText="1"/>
    </xf>
    <xf numFmtId="0" fontId="1" fillId="0" borderId="49" xfId="0" applyFont="1" applyBorder="1" applyAlignment="1">
      <alignment horizontal="center" vertical="center" wrapText="1"/>
    </xf>
    <xf numFmtId="0" fontId="1" fillId="23" borderId="50" xfId="0" applyFont="1" applyFill="1" applyBorder="1" applyAlignment="1">
      <alignment horizontal="center" vertical="center" wrapText="1"/>
    </xf>
    <xf numFmtId="0" fontId="1" fillId="23" borderId="4" xfId="0" applyFont="1" applyFill="1" applyBorder="1" applyAlignment="1">
      <alignment horizontal="center" vertical="center" wrapText="1"/>
    </xf>
    <xf numFmtId="0" fontId="1" fillId="23" borderId="51" xfId="0" applyFont="1" applyFill="1" applyBorder="1" applyAlignment="1">
      <alignment horizontal="center" vertical="center" wrapText="1"/>
    </xf>
    <xf numFmtId="0" fontId="1" fillId="23" borderId="52" xfId="0" applyFont="1" applyFill="1" applyBorder="1" applyAlignment="1">
      <alignment horizontal="center" vertical="center" wrapText="1"/>
    </xf>
    <xf numFmtId="170" fontId="1" fillId="0" borderId="0" xfId="0" applyNumberFormat="1" applyFont="1" applyAlignment="1">
      <alignment horizontal="center" vertical="center" wrapText="1"/>
    </xf>
    <xf numFmtId="170" fontId="1" fillId="23" borderId="53" xfId="0" applyNumberFormat="1" applyFont="1" applyFill="1" applyBorder="1" applyAlignment="1">
      <alignment horizontal="center" vertical="center" wrapText="1"/>
    </xf>
    <xf numFmtId="170" fontId="1" fillId="23" borderId="9" xfId="0" applyNumberFormat="1" applyFont="1" applyFill="1" applyBorder="1" applyAlignment="1">
      <alignment horizontal="center" vertical="center" wrapText="1"/>
    </xf>
    <xf numFmtId="170" fontId="1" fillId="23" borderId="54" xfId="0" applyNumberFormat="1" applyFont="1" applyFill="1" applyBorder="1" applyAlignment="1">
      <alignment horizontal="center" vertical="center" wrapText="1"/>
    </xf>
    <xf numFmtId="0" fontId="1" fillId="23" borderId="53" xfId="0" quotePrefix="1" applyFont="1" applyFill="1" applyBorder="1" applyAlignment="1">
      <alignment horizontal="center" vertical="center" wrapText="1"/>
    </xf>
    <xf numFmtId="0" fontId="1" fillId="0" borderId="55" xfId="0" applyFont="1" applyBorder="1" applyAlignment="1">
      <alignment horizontal="center" vertical="center" wrapText="1"/>
    </xf>
    <xf numFmtId="0" fontId="1" fillId="23" borderId="56" xfId="0" applyFont="1" applyFill="1" applyBorder="1" applyAlignment="1">
      <alignment horizontal="center" vertical="center" wrapText="1"/>
    </xf>
    <xf numFmtId="0" fontId="1" fillId="23" borderId="57" xfId="0" applyFont="1" applyFill="1" applyBorder="1" applyAlignment="1">
      <alignment horizontal="center" vertical="center" wrapText="1"/>
    </xf>
    <xf numFmtId="0" fontId="1" fillId="23" borderId="58" xfId="0" applyFont="1" applyFill="1" applyBorder="1" applyAlignment="1">
      <alignment horizontal="center" vertical="center" wrapText="1"/>
    </xf>
    <xf numFmtId="0" fontId="1" fillId="23" borderId="59" xfId="0" applyFont="1" applyFill="1" applyBorder="1" applyAlignment="1">
      <alignment horizontal="center" vertical="center" wrapText="1"/>
    </xf>
    <xf numFmtId="0" fontId="0" fillId="24" borderId="60" xfId="0" applyFill="1" applyBorder="1" applyAlignment="1">
      <alignment horizontal="center" vertical="center" wrapText="1"/>
    </xf>
    <xf numFmtId="0" fontId="0" fillId="0" borderId="3" xfId="0" applyBorder="1" applyAlignment="1">
      <alignment horizontal="center" vertical="center" wrapText="1"/>
    </xf>
    <xf numFmtId="0" fontId="26" fillId="0" borderId="0" xfId="0" applyFont="1" applyAlignment="1">
      <alignment horizontal="center" vertical="center" wrapText="1"/>
    </xf>
    <xf numFmtId="1" fontId="0" fillId="0" borderId="0" xfId="0" applyNumberFormat="1" applyAlignment="1">
      <alignment horizontal="center" vertical="center" wrapText="1"/>
    </xf>
    <xf numFmtId="0" fontId="1" fillId="25" borderId="39" xfId="0" applyFont="1" applyFill="1" applyBorder="1" applyAlignment="1">
      <alignment horizontal="center" vertical="center" wrapText="1"/>
    </xf>
    <xf numFmtId="0" fontId="27" fillId="24" borderId="3" xfId="0" applyFont="1" applyFill="1" applyBorder="1" applyAlignment="1">
      <alignment horizontal="center" vertical="center" wrapText="1"/>
    </xf>
    <xf numFmtId="0" fontId="27" fillId="0" borderId="0" xfId="0" applyFont="1" applyAlignment="1">
      <alignment horizontal="center" vertical="center" wrapText="1"/>
    </xf>
    <xf numFmtId="0" fontId="20" fillId="0" borderId="0" xfId="0" applyFont="1" applyAlignment="1">
      <alignment horizontal="center" vertical="center" wrapText="1"/>
    </xf>
    <xf numFmtId="0" fontId="21" fillId="0" borderId="0" xfId="0" applyFont="1" applyAlignment="1">
      <alignment horizontal="center" vertical="center" wrapText="1"/>
    </xf>
    <xf numFmtId="49" fontId="27" fillId="24" borderId="3" xfId="0" applyNumberFormat="1" applyFont="1" applyFill="1" applyBorder="1" applyAlignment="1">
      <alignment horizontal="center" vertical="center" wrapText="1"/>
    </xf>
    <xf numFmtId="0" fontId="27" fillId="24" borderId="54" xfId="0" applyFont="1" applyFill="1" applyBorder="1" applyAlignment="1">
      <alignment horizontal="center" vertical="center" wrapText="1"/>
    </xf>
    <xf numFmtId="0" fontId="0" fillId="23" borderId="8" xfId="0" applyFill="1" applyBorder="1" applyAlignment="1">
      <alignment horizontal="center" vertical="center" wrapText="1"/>
    </xf>
    <xf numFmtId="172" fontId="0" fillId="23" borderId="3" xfId="0" applyNumberFormat="1" applyFill="1" applyBorder="1" applyAlignment="1">
      <alignment horizontal="center" vertical="center" wrapText="1"/>
    </xf>
    <xf numFmtId="0" fontId="1" fillId="25" borderId="47" xfId="0" applyFont="1" applyFill="1" applyBorder="1" applyAlignment="1">
      <alignment horizontal="center" vertical="center" wrapText="1"/>
    </xf>
    <xf numFmtId="0" fontId="1" fillId="25" borderId="61" xfId="0" applyFont="1" applyFill="1" applyBorder="1" applyAlignment="1">
      <alignment horizontal="center" vertical="center" wrapText="1"/>
    </xf>
    <xf numFmtId="0" fontId="1" fillId="25" borderId="43" xfId="0" applyFont="1" applyFill="1" applyBorder="1" applyAlignment="1">
      <alignment horizontal="center" vertical="center" wrapText="1"/>
    </xf>
    <xf numFmtId="0" fontId="1" fillId="25" borderId="43" xfId="0" quotePrefix="1" applyFont="1" applyFill="1" applyBorder="1" applyAlignment="1">
      <alignment horizontal="center" vertical="center" wrapText="1"/>
    </xf>
    <xf numFmtId="172" fontId="0" fillId="0" borderId="0" xfId="0" applyNumberFormat="1" applyAlignment="1">
      <alignment horizontal="center" vertical="center" wrapText="1"/>
    </xf>
    <xf numFmtId="3" fontId="0" fillId="0" borderId="0" xfId="0" applyNumberFormat="1" applyAlignment="1">
      <alignment horizontal="center" vertical="center" wrapText="1"/>
    </xf>
    <xf numFmtId="0" fontId="20" fillId="0" borderId="10" xfId="0" applyFont="1" applyBorder="1" applyAlignment="1">
      <alignment horizontal="center" vertical="center" wrapText="1"/>
    </xf>
    <xf numFmtId="0" fontId="0" fillId="24" borderId="54" xfId="0" applyFill="1" applyBorder="1" applyAlignment="1">
      <alignment horizontal="center" vertical="center" wrapText="1"/>
    </xf>
    <xf numFmtId="0" fontId="0" fillId="24" borderId="8" xfId="0" applyFill="1" applyBorder="1" applyAlignment="1">
      <alignment horizontal="center" vertical="center" wrapText="1"/>
    </xf>
    <xf numFmtId="0" fontId="1" fillId="25" borderId="34" xfId="0" quotePrefix="1" applyFont="1" applyFill="1" applyBorder="1" applyAlignment="1">
      <alignment horizontal="center" vertical="center" wrapText="1"/>
    </xf>
    <xf numFmtId="0" fontId="1" fillId="25" borderId="34" xfId="0" applyFont="1" applyFill="1" applyBorder="1" applyAlignment="1">
      <alignment horizontal="center" vertical="center" wrapText="1"/>
    </xf>
    <xf numFmtId="0" fontId="1" fillId="25" borderId="0" xfId="0" applyFont="1" applyFill="1" applyAlignment="1">
      <alignment horizontal="center" vertical="center" wrapText="1"/>
    </xf>
    <xf numFmtId="0" fontId="1" fillId="25" borderId="64" xfId="0" applyFont="1" applyFill="1" applyBorder="1" applyAlignment="1">
      <alignment horizontal="center" vertical="center" wrapText="1"/>
    </xf>
    <xf numFmtId="0" fontId="0" fillId="24" borderId="9" xfId="0" applyFill="1" applyBorder="1" applyAlignment="1">
      <alignment horizontal="center" vertical="center" wrapText="1"/>
    </xf>
    <xf numFmtId="0" fontId="1" fillId="25" borderId="66" xfId="0" applyFont="1" applyFill="1" applyBorder="1" applyAlignment="1">
      <alignment horizontal="center" vertical="center" wrapText="1"/>
    </xf>
    <xf numFmtId="0" fontId="1" fillId="25" borderId="67" xfId="0" applyFont="1" applyFill="1" applyBorder="1" applyAlignment="1">
      <alignment horizontal="center" vertical="center" wrapText="1"/>
    </xf>
    <xf numFmtId="0" fontId="0" fillId="23" borderId="9" xfId="0" applyFill="1" applyBorder="1" applyAlignment="1">
      <alignment horizontal="center" vertical="center" wrapText="1"/>
    </xf>
    <xf numFmtId="172" fontId="0" fillId="0" borderId="0" xfId="6" applyNumberFormat="1" applyFont="1" applyAlignment="1">
      <alignment horizontal="center" vertical="center" wrapText="1"/>
    </xf>
    <xf numFmtId="172" fontId="0" fillId="23" borderId="9" xfId="6" applyNumberFormat="1" applyFont="1" applyFill="1" applyBorder="1" applyAlignment="1">
      <alignment horizontal="center" vertical="center" wrapText="1"/>
    </xf>
    <xf numFmtId="0" fontId="1" fillId="25" borderId="67" xfId="0" quotePrefix="1" applyFont="1" applyFill="1" applyBorder="1" applyAlignment="1">
      <alignment horizontal="center" vertical="center" wrapText="1"/>
    </xf>
    <xf numFmtId="3" fontId="0" fillId="23" borderId="9" xfId="0" applyNumberFormat="1" applyFill="1" applyBorder="1" applyAlignment="1">
      <alignment horizontal="center" vertical="center" wrapText="1"/>
    </xf>
    <xf numFmtId="0" fontId="1" fillId="25" borderId="68" xfId="0" applyFont="1" applyFill="1" applyBorder="1" applyAlignment="1">
      <alignment horizontal="center" vertical="center" wrapText="1"/>
    </xf>
    <xf numFmtId="0" fontId="1" fillId="25" borderId="13" xfId="0" applyFont="1" applyFill="1" applyBorder="1" applyAlignment="1">
      <alignment horizontal="center" vertical="center" wrapText="1"/>
    </xf>
    <xf numFmtId="172" fontId="0" fillId="23" borderId="43" xfId="0" applyNumberFormat="1" applyFill="1" applyBorder="1" applyAlignment="1">
      <alignment horizontal="center" vertical="center" wrapText="1"/>
    </xf>
    <xf numFmtId="37" fontId="1" fillId="25" borderId="37" xfId="0" applyNumberFormat="1" applyFont="1" applyFill="1" applyBorder="1" applyAlignment="1">
      <alignment horizontal="center" vertical="center" wrapText="1"/>
    </xf>
    <xf numFmtId="37" fontId="1" fillId="25" borderId="45" xfId="0" applyNumberFormat="1" applyFont="1" applyFill="1" applyBorder="1" applyAlignment="1">
      <alignment horizontal="center" vertical="center" wrapText="1"/>
    </xf>
    <xf numFmtId="37" fontId="1" fillId="25" borderId="45" xfId="0" quotePrefix="1" applyNumberFormat="1" applyFont="1" applyFill="1" applyBorder="1" applyAlignment="1">
      <alignment horizontal="center" vertical="center" wrapText="1"/>
    </xf>
    <xf numFmtId="0" fontId="29" fillId="0" borderId="16" xfId="0" applyFont="1" applyBorder="1" applyAlignment="1">
      <alignment horizontal="left" vertical="center"/>
    </xf>
    <xf numFmtId="0" fontId="1" fillId="0" borderId="0" xfId="0" applyFont="1" applyAlignment="1">
      <alignment horizontal="left" vertical="center"/>
    </xf>
    <xf numFmtId="0" fontId="1" fillId="23" borderId="40" xfId="0" applyFont="1" applyFill="1" applyBorder="1" applyAlignment="1">
      <alignment horizontal="center" vertical="center" wrapText="1"/>
    </xf>
    <xf numFmtId="0" fontId="1" fillId="23" borderId="68" xfId="0" applyFont="1" applyFill="1" applyBorder="1" applyAlignment="1">
      <alignment horizontal="center" vertical="center" wrapText="1"/>
    </xf>
    <xf numFmtId="0" fontId="25" fillId="25" borderId="8" xfId="0" applyFont="1" applyFill="1" applyBorder="1" applyAlignment="1">
      <alignment horizontal="center" vertical="center" wrapText="1"/>
    </xf>
    <xf numFmtId="0" fontId="0" fillId="24" borderId="15" xfId="0" applyFill="1" applyBorder="1" applyAlignment="1">
      <alignment horizontal="center" vertical="center" wrapText="1"/>
    </xf>
    <xf numFmtId="0" fontId="4" fillId="24" borderId="3"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24" borderId="43" xfId="0" applyFont="1" applyFill="1" applyBorder="1" applyAlignment="1">
      <alignment horizontal="center" vertical="center" wrapText="1"/>
    </xf>
    <xf numFmtId="0" fontId="0" fillId="24" borderId="69" xfId="0" applyFill="1" applyBorder="1" applyAlignment="1">
      <alignment horizontal="center" vertical="center" wrapText="1"/>
    </xf>
    <xf numFmtId="0" fontId="0" fillId="0" borderId="4" xfId="0" applyBorder="1" applyAlignment="1">
      <alignment horizontal="center" vertical="center" wrapText="1"/>
    </xf>
    <xf numFmtId="172" fontId="30" fillId="23" borderId="9" xfId="0" applyNumberFormat="1" applyFont="1" applyFill="1" applyBorder="1" applyAlignment="1">
      <alignment horizontal="center" vertical="center" wrapText="1"/>
    </xf>
    <xf numFmtId="172" fontId="30" fillId="23" borderId="69" xfId="0" applyNumberFormat="1" applyFont="1" applyFill="1" applyBorder="1" applyAlignment="1">
      <alignment horizontal="center" vertical="center" wrapText="1"/>
    </xf>
    <xf numFmtId="0" fontId="27" fillId="0" borderId="0" xfId="0" applyFont="1" applyAlignment="1">
      <alignment horizontal="left" vertical="center"/>
    </xf>
    <xf numFmtId="0" fontId="1" fillId="25" borderId="45" xfId="0" quotePrefix="1" applyFont="1" applyFill="1" applyBorder="1" applyAlignment="1">
      <alignment horizontal="center" vertical="center" wrapText="1"/>
    </xf>
    <xf numFmtId="0" fontId="31" fillId="25" borderId="45" xfId="0" quotePrefix="1" applyFont="1" applyFill="1" applyBorder="1" applyAlignment="1">
      <alignment horizontal="center" vertical="center" wrapText="1"/>
    </xf>
    <xf numFmtId="0" fontId="25" fillId="25" borderId="45" xfId="0" applyFont="1" applyFill="1" applyBorder="1" applyAlignment="1">
      <alignment horizontal="center" vertical="center" wrapText="1"/>
    </xf>
    <xf numFmtId="0" fontId="25" fillId="25" borderId="46" xfId="0" applyFont="1" applyFill="1" applyBorder="1" applyAlignment="1">
      <alignment horizontal="center" vertical="center"/>
    </xf>
    <xf numFmtId="172" fontId="0" fillId="23" borderId="15" xfId="0" applyNumberFormat="1" applyFill="1" applyBorder="1" applyAlignment="1">
      <alignment horizontal="center" vertical="center" wrapText="1"/>
    </xf>
    <xf numFmtId="3" fontId="0" fillId="23" borderId="15" xfId="0" applyNumberFormat="1" applyFill="1" applyBorder="1" applyAlignment="1">
      <alignment horizontal="center" vertical="center" wrapText="1"/>
    </xf>
    <xf numFmtId="172" fontId="30" fillId="23" borderId="70" xfId="0" applyNumberFormat="1" applyFont="1" applyFill="1" applyBorder="1" applyAlignment="1">
      <alignment horizontal="center" vertical="center" wrapText="1"/>
    </xf>
    <xf numFmtId="0" fontId="4" fillId="24" borderId="15" xfId="0" applyFont="1" applyFill="1" applyBorder="1" applyAlignment="1">
      <alignment horizontal="center" vertical="center" wrapText="1"/>
    </xf>
    <xf numFmtId="0" fontId="25" fillId="25" borderId="37" xfId="0" applyFont="1" applyFill="1" applyBorder="1" applyAlignment="1">
      <alignment horizontal="center" vertical="center" wrapText="1"/>
    </xf>
    <xf numFmtId="0" fontId="25" fillId="25" borderId="45" xfId="0" quotePrefix="1" applyFont="1" applyFill="1" applyBorder="1" applyAlignment="1">
      <alignment horizontal="center" vertical="center" wrapText="1"/>
    </xf>
    <xf numFmtId="172" fontId="0" fillId="23" borderId="70" xfId="0" applyNumberFormat="1" applyFill="1" applyBorder="1" applyAlignment="1">
      <alignment horizontal="center" vertical="center" wrapText="1"/>
    </xf>
    <xf numFmtId="172" fontId="0" fillId="23" borderId="9" xfId="0" applyNumberFormat="1" applyFill="1" applyBorder="1" applyAlignment="1">
      <alignment horizontal="center" vertical="center" wrapText="1"/>
    </xf>
    <xf numFmtId="0" fontId="0" fillId="24" borderId="71" xfId="0" applyFill="1" applyBorder="1" applyAlignment="1">
      <alignment horizontal="center" vertical="center" wrapText="1"/>
    </xf>
    <xf numFmtId="172" fontId="0" fillId="23" borderId="69" xfId="0" applyNumberFormat="1" applyFill="1" applyBorder="1" applyAlignment="1">
      <alignment horizontal="center" vertical="center" wrapText="1"/>
    </xf>
    <xf numFmtId="0" fontId="0" fillId="0" borderId="48" xfId="0" applyBorder="1" applyAlignment="1">
      <alignment horizontal="center" vertical="center" wrapText="1"/>
    </xf>
    <xf numFmtId="1" fontId="0" fillId="23" borderId="15" xfId="0" applyNumberFormat="1" applyFill="1" applyBorder="1" applyAlignment="1">
      <alignment horizontal="center" vertical="center" wrapText="1"/>
    </xf>
    <xf numFmtId="1" fontId="0" fillId="23" borderId="3" xfId="0" applyNumberFormat="1" applyFill="1" applyBorder="1" applyAlignment="1">
      <alignment horizontal="center" vertical="center" wrapText="1"/>
    </xf>
    <xf numFmtId="1" fontId="0" fillId="23" borderId="43" xfId="0" applyNumberFormat="1" applyFill="1" applyBorder="1" applyAlignment="1">
      <alignment horizontal="center" vertical="center" wrapText="1"/>
    </xf>
    <xf numFmtId="0" fontId="25" fillId="25" borderId="37" xfId="0" quotePrefix="1" applyFont="1" applyFill="1" applyBorder="1" applyAlignment="1">
      <alignment horizontal="center" vertical="center" wrapText="1"/>
    </xf>
    <xf numFmtId="0" fontId="1" fillId="0" borderId="4" xfId="0" applyFont="1" applyBorder="1" applyAlignment="1">
      <alignment horizontal="center" vertical="center" wrapText="1"/>
    </xf>
    <xf numFmtId="0" fontId="0" fillId="24" borderId="70" xfId="0" applyFill="1" applyBorder="1" applyAlignment="1">
      <alignment horizontal="center" vertical="center" wrapText="1"/>
    </xf>
    <xf numFmtId="0" fontId="0" fillId="4" borderId="15" xfId="0" applyFill="1" applyBorder="1" applyAlignment="1">
      <alignment horizontal="center" vertical="center" wrapText="1"/>
    </xf>
    <xf numFmtId="0" fontId="0" fillId="4" borderId="3" xfId="0" applyFill="1" applyBorder="1" applyAlignment="1">
      <alignment horizontal="center" vertical="center" wrapText="1"/>
    </xf>
    <xf numFmtId="0" fontId="0" fillId="4" borderId="9" xfId="0" applyFill="1" applyBorder="1" applyAlignment="1">
      <alignment horizontal="center" vertical="center" wrapText="1"/>
    </xf>
    <xf numFmtId="0" fontId="27" fillId="0" borderId="0" xfId="0" applyFont="1" applyAlignment="1">
      <alignment horizontal="left" vertical="center" wrapText="1"/>
    </xf>
    <xf numFmtId="0" fontId="25" fillId="25" borderId="39" xfId="0" applyFont="1" applyFill="1" applyBorder="1" applyAlignment="1">
      <alignment horizontal="center" vertical="center" wrapText="1"/>
    </xf>
    <xf numFmtId="0" fontId="25" fillId="25" borderId="46"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25" fillId="25" borderId="1" xfId="0" applyFont="1" applyFill="1" applyBorder="1" applyAlignment="1">
      <alignment horizontal="center" vertical="center" wrapText="1"/>
    </xf>
    <xf numFmtId="0" fontId="0" fillId="4" borderId="69" xfId="0" applyFill="1" applyBorder="1" applyAlignment="1">
      <alignment horizontal="center" vertical="center" wrapText="1"/>
    </xf>
    <xf numFmtId="0" fontId="0" fillId="4" borderId="39" xfId="0" applyFill="1" applyBorder="1" applyAlignment="1">
      <alignment horizontal="center" vertical="center" wrapText="1"/>
    </xf>
    <xf numFmtId="0" fontId="27" fillId="0" borderId="4" xfId="0" applyFont="1" applyBorder="1" applyAlignment="1">
      <alignment horizontal="center" vertical="center" wrapText="1"/>
    </xf>
    <xf numFmtId="0" fontId="25" fillId="25" borderId="39" xfId="0" applyFont="1" applyFill="1" applyBorder="1" applyAlignment="1">
      <alignment horizontal="center" vertical="center"/>
    </xf>
    <xf numFmtId="0" fontId="11" fillId="24" borderId="9" xfId="0" applyFont="1" applyFill="1" applyBorder="1" applyAlignment="1">
      <alignment horizontal="center" vertical="center" wrapText="1"/>
    </xf>
    <xf numFmtId="0" fontId="11" fillId="24" borderId="3" xfId="0" applyFont="1" applyFill="1" applyBorder="1" applyAlignment="1">
      <alignment horizontal="center" vertical="center" wrapText="1"/>
    </xf>
    <xf numFmtId="0" fontId="8" fillId="0" borderId="0" xfId="0" applyFont="1" applyAlignment="1">
      <alignment vertical="center" wrapText="1"/>
    </xf>
    <xf numFmtId="0" fontId="8" fillId="0" borderId="33" xfId="0" applyFont="1" applyBorder="1" applyAlignment="1">
      <alignment vertical="center" wrapText="1"/>
    </xf>
    <xf numFmtId="0" fontId="11" fillId="24" borderId="43" xfId="0" applyFont="1" applyFill="1" applyBorder="1" applyAlignment="1">
      <alignment horizontal="center" vertical="center" wrapText="1"/>
    </xf>
    <xf numFmtId="0" fontId="8" fillId="0" borderId="35" xfId="0" applyFont="1" applyBorder="1" applyAlignment="1">
      <alignment horizontal="left" vertical="center" wrapText="1"/>
    </xf>
    <xf numFmtId="0" fontId="8" fillId="25" borderId="2" xfId="0" applyFont="1" applyFill="1" applyBorder="1" applyAlignment="1">
      <alignment horizontal="center" vertical="center" wrapText="1"/>
    </xf>
    <xf numFmtId="0" fontId="8" fillId="25" borderId="45" xfId="0" applyFont="1" applyFill="1" applyBorder="1" applyAlignment="1">
      <alignment horizontal="center" vertical="center" wrapText="1"/>
    </xf>
    <xf numFmtId="0" fontId="8" fillId="25" borderId="46" xfId="0" applyFont="1" applyFill="1" applyBorder="1" applyAlignment="1">
      <alignment horizontal="center" vertical="center" wrapText="1"/>
    </xf>
    <xf numFmtId="0" fontId="32" fillId="25" borderId="1" xfId="0" applyFont="1" applyFill="1" applyBorder="1" applyAlignment="1">
      <alignment horizontal="center" vertical="center" wrapText="1"/>
    </xf>
    <xf numFmtId="0" fontId="4" fillId="0" borderId="0" xfId="0" applyFont="1" applyAlignment="1">
      <alignment horizontal="center" vertical="center" wrapText="1"/>
    </xf>
    <xf numFmtId="0" fontId="27" fillId="0" borderId="16" xfId="0" applyFont="1" applyBorder="1" applyAlignment="1">
      <alignment horizontal="center" vertical="center" wrapText="1"/>
    </xf>
    <xf numFmtId="0" fontId="33" fillId="0" borderId="16" xfId="0" applyFont="1" applyBorder="1" applyAlignment="1">
      <alignment horizontal="left" vertical="center"/>
    </xf>
    <xf numFmtId="9" fontId="4" fillId="0" borderId="0" xfId="0" applyNumberFormat="1" applyFont="1" applyAlignment="1">
      <alignment horizontal="center" vertical="center" wrapText="1"/>
    </xf>
    <xf numFmtId="1" fontId="4" fillId="0" borderId="0" xfId="0" applyNumberFormat="1" applyFont="1" applyAlignment="1">
      <alignment horizontal="center" vertical="center" wrapText="1"/>
    </xf>
    <xf numFmtId="0" fontId="0" fillId="2" borderId="0" xfId="0" applyFill="1" applyAlignment="1">
      <alignment horizontal="center" vertical="center" wrapText="1"/>
    </xf>
    <xf numFmtId="167" fontId="4" fillId="2" borderId="0" xfId="0" applyNumberFormat="1" applyFont="1" applyFill="1" applyAlignment="1">
      <alignment horizontal="center" vertical="center" wrapText="1"/>
    </xf>
    <xf numFmtId="1" fontId="4" fillId="2" borderId="0" xfId="0" applyNumberFormat="1" applyFont="1" applyFill="1" applyAlignment="1">
      <alignment horizontal="center" vertical="center" wrapText="1"/>
    </xf>
    <xf numFmtId="167" fontId="0" fillId="2" borderId="0" xfId="0" applyNumberFormat="1" applyFill="1" applyAlignment="1">
      <alignment horizontal="center" vertical="center" wrapText="1"/>
    </xf>
    <xf numFmtId="0" fontId="4" fillId="2" borderId="0" xfId="0" applyFont="1" applyFill="1" applyAlignment="1">
      <alignment horizontal="center" vertical="center" wrapText="1"/>
    </xf>
    <xf numFmtId="0" fontId="0" fillId="2" borderId="0" xfId="0" applyFill="1" applyAlignment="1">
      <alignment horizontal="left" vertical="center"/>
    </xf>
    <xf numFmtId="0" fontId="4" fillId="2" borderId="0" xfId="0" applyFont="1" applyFill="1" applyAlignment="1">
      <alignment horizontal="left" vertical="center"/>
    </xf>
    <xf numFmtId="167" fontId="4" fillId="23" borderId="3" xfId="0" applyNumberFormat="1" applyFont="1" applyFill="1" applyBorder="1" applyAlignment="1">
      <alignment horizontal="center" vertical="center" wrapText="1"/>
    </xf>
    <xf numFmtId="1" fontId="4" fillId="23" borderId="3" xfId="0" applyNumberFormat="1" applyFont="1" applyFill="1" applyBorder="1" applyAlignment="1">
      <alignment horizontal="center" vertical="center" wrapText="1"/>
    </xf>
    <xf numFmtId="167" fontId="0" fillId="23" borderId="3" xfId="0" applyNumberFormat="1" applyFill="1" applyBorder="1" applyAlignment="1">
      <alignment horizontal="center" vertical="center" wrapText="1"/>
    </xf>
    <xf numFmtId="0" fontId="4" fillId="25" borderId="3" xfId="0" applyFont="1" applyFill="1" applyBorder="1" applyAlignment="1">
      <alignment horizontal="center" vertical="center" wrapText="1"/>
    </xf>
    <xf numFmtId="0" fontId="0" fillId="25" borderId="0" xfId="0" applyFill="1" applyAlignment="1">
      <alignment horizontal="center" vertical="center" wrapText="1"/>
    </xf>
    <xf numFmtId="0" fontId="4" fillId="25" borderId="0" xfId="0" applyFont="1" applyFill="1" applyAlignment="1">
      <alignment horizontal="center" vertical="center" wrapText="1"/>
    </xf>
    <xf numFmtId="167" fontId="4" fillId="23" borderId="43" xfId="0" applyNumberFormat="1" applyFont="1" applyFill="1" applyBorder="1" applyAlignment="1">
      <alignment horizontal="center" vertical="center" wrapText="1"/>
    </xf>
    <xf numFmtId="1" fontId="4" fillId="23" borderId="43" xfId="0" applyNumberFormat="1" applyFont="1" applyFill="1" applyBorder="1" applyAlignment="1">
      <alignment horizontal="center" vertical="center" wrapText="1"/>
    </xf>
    <xf numFmtId="167" fontId="0" fillId="23" borderId="43" xfId="0" applyNumberFormat="1" applyFill="1" applyBorder="1" applyAlignment="1">
      <alignment horizontal="center" vertical="center" wrapText="1"/>
    </xf>
    <xf numFmtId="0" fontId="0" fillId="23" borderId="43" xfId="0" applyFill="1" applyBorder="1" applyAlignment="1">
      <alignment horizontal="center" vertical="center" wrapText="1"/>
    </xf>
    <xf numFmtId="0" fontId="4" fillId="25" borderId="43" xfId="0" applyFont="1" applyFill="1" applyBorder="1" applyAlignment="1">
      <alignment horizontal="center" vertical="center" wrapText="1"/>
    </xf>
    <xf numFmtId="0" fontId="31" fillId="6" borderId="45" xfId="0" applyFont="1" applyFill="1" applyBorder="1" applyAlignment="1">
      <alignment horizontal="center" vertical="center" wrapText="1"/>
    </xf>
    <xf numFmtId="9" fontId="0" fillId="0" borderId="0" xfId="0" applyNumberFormat="1" applyAlignment="1">
      <alignment horizontal="center" vertical="center" wrapText="1"/>
    </xf>
    <xf numFmtId="1" fontId="30" fillId="6" borderId="0" xfId="0" applyNumberFormat="1" applyFont="1" applyFill="1" applyAlignment="1">
      <alignment horizontal="center" vertical="center" wrapText="1"/>
    </xf>
    <xf numFmtId="9" fontId="0" fillId="0" borderId="16" xfId="0" applyNumberFormat="1" applyBorder="1" applyAlignment="1">
      <alignment horizontal="center" vertical="center" wrapText="1"/>
    </xf>
    <xf numFmtId="0" fontId="0" fillId="6" borderId="16" xfId="0" applyFill="1" applyBorder="1" applyAlignment="1">
      <alignment horizontal="center" vertical="center" wrapText="1"/>
    </xf>
    <xf numFmtId="0" fontId="30" fillId="0" borderId="16" xfId="0" applyFont="1" applyBorder="1" applyAlignment="1">
      <alignment horizontal="center" vertical="center" wrapText="1"/>
    </xf>
    <xf numFmtId="0" fontId="0" fillId="6" borderId="0" xfId="0" applyFill="1" applyAlignment="1">
      <alignment horizontal="center" vertical="center" wrapText="1"/>
    </xf>
    <xf numFmtId="0" fontId="30" fillId="0" borderId="0" xfId="0" applyFont="1" applyAlignment="1">
      <alignment horizontal="center" vertical="center" wrapText="1"/>
    </xf>
    <xf numFmtId="0" fontId="30" fillId="6" borderId="32" xfId="0" applyFont="1" applyFill="1" applyBorder="1" applyAlignment="1">
      <alignment horizontal="center" vertical="center" wrapText="1"/>
    </xf>
    <xf numFmtId="0" fontId="30" fillId="24" borderId="31" xfId="0" applyFont="1" applyFill="1" applyBorder="1" applyAlignment="1">
      <alignment horizontal="center" vertical="center" wrapText="1"/>
    </xf>
    <xf numFmtId="0" fontId="0" fillId="25" borderId="73" xfId="0" applyFill="1" applyBorder="1" applyAlignment="1">
      <alignment horizontal="center" vertical="center" wrapText="1"/>
    </xf>
    <xf numFmtId="0" fontId="27" fillId="25" borderId="74" xfId="0" applyFont="1" applyFill="1" applyBorder="1" applyAlignment="1">
      <alignment horizontal="center" vertical="center" wrapText="1"/>
    </xf>
    <xf numFmtId="0" fontId="27" fillId="25" borderId="75" xfId="0" applyFont="1" applyFill="1" applyBorder="1" applyAlignment="1">
      <alignment horizontal="center" vertical="center" wrapText="1"/>
    </xf>
    <xf numFmtId="0" fontId="27" fillId="25" borderId="76" xfId="0" applyFont="1" applyFill="1" applyBorder="1" applyAlignment="1">
      <alignment horizontal="center" vertical="center" wrapText="1"/>
    </xf>
    <xf numFmtId="0" fontId="0" fillId="24" borderId="77" xfId="0" applyFill="1" applyBorder="1" applyAlignment="1">
      <alignment horizontal="center" vertical="center" wrapText="1"/>
    </xf>
    <xf numFmtId="0" fontId="27" fillId="25" borderId="78" xfId="0" applyFont="1" applyFill="1" applyBorder="1" applyAlignment="1">
      <alignment horizontal="center" vertical="center" wrapText="1"/>
    </xf>
    <xf numFmtId="0" fontId="1" fillId="0" borderId="0" xfId="0" applyFont="1" applyAlignment="1">
      <alignment vertical="center" wrapText="1"/>
    </xf>
    <xf numFmtId="0" fontId="4" fillId="0" borderId="0" xfId="0" applyFont="1" applyAlignment="1">
      <alignment vertical="center"/>
    </xf>
    <xf numFmtId="169" fontId="4" fillId="0" borderId="0" xfId="0" applyNumberFormat="1" applyFont="1" applyAlignment="1">
      <alignment vertical="center"/>
    </xf>
    <xf numFmtId="42" fontId="4" fillId="0" borderId="0" xfId="0" applyNumberFormat="1" applyFont="1" applyAlignment="1">
      <alignment horizontal="center" vertical="center"/>
    </xf>
    <xf numFmtId="0" fontId="4" fillId="0" borderId="0" xfId="0" applyFont="1" applyAlignment="1">
      <alignment horizontal="center" vertical="center"/>
    </xf>
    <xf numFmtId="3" fontId="4" fillId="0" borderId="0" xfId="0" applyNumberFormat="1" applyFont="1" applyAlignment="1">
      <alignment horizontal="center" vertical="center"/>
    </xf>
    <xf numFmtId="0" fontId="4" fillId="0" borderId="0" xfId="0" applyFont="1" applyAlignment="1">
      <alignment horizontal="left" vertical="center"/>
    </xf>
    <xf numFmtId="42" fontId="4" fillId="15" borderId="3" xfId="2" applyNumberFormat="1" applyFont="1" applyFill="1" applyBorder="1" applyAlignment="1">
      <alignment horizontal="center" vertical="center"/>
    </xf>
    <xf numFmtId="0" fontId="4" fillId="15" borderId="3" xfId="0" applyFont="1" applyFill="1" applyBorder="1" applyAlignment="1">
      <alignment horizontal="center" vertical="center"/>
    </xf>
    <xf numFmtId="0" fontId="4" fillId="0" borderId="3" xfId="0" applyFont="1" applyBorder="1" applyAlignment="1">
      <alignment horizontal="center" vertical="center"/>
    </xf>
    <xf numFmtId="3" fontId="4" fillId="0" borderId="3" xfId="0" applyNumberFormat="1" applyFont="1" applyBorder="1" applyAlignment="1">
      <alignment horizontal="center" vertical="center"/>
    </xf>
    <xf numFmtId="0" fontId="4" fillId="0" borderId="3" xfId="0" applyFont="1" applyBorder="1" applyAlignment="1">
      <alignment vertical="center"/>
    </xf>
    <xf numFmtId="11" fontId="4" fillId="0" borderId="3" xfId="0" applyNumberFormat="1" applyFont="1" applyBorder="1" applyAlignment="1">
      <alignment horizontal="left" vertical="center"/>
    </xf>
    <xf numFmtId="0" fontId="4" fillId="0" borderId="3" xfId="0" applyFont="1" applyBorder="1" applyAlignment="1">
      <alignment horizontal="left" vertical="center"/>
    </xf>
    <xf numFmtId="0" fontId="25" fillId="0" borderId="0" xfId="0" applyFont="1" applyAlignment="1">
      <alignment vertical="center"/>
    </xf>
    <xf numFmtId="169" fontId="25" fillId="0" borderId="0" xfId="0" applyNumberFormat="1" applyFont="1" applyAlignment="1">
      <alignment vertical="center"/>
    </xf>
    <xf numFmtId="0" fontId="4" fillId="0" borderId="0" xfId="0" applyFont="1" applyAlignment="1">
      <alignment vertical="center" wrapText="1"/>
    </xf>
    <xf numFmtId="169" fontId="4" fillId="0" borderId="0" xfId="0" applyNumberFormat="1" applyFont="1" applyAlignment="1">
      <alignment vertical="center" wrapText="1"/>
    </xf>
    <xf numFmtId="42" fontId="25" fillId="15" borderId="3" xfId="0" applyNumberFormat="1" applyFont="1" applyFill="1" applyBorder="1" applyAlignment="1">
      <alignment horizontal="center" vertical="center" wrapText="1"/>
    </xf>
    <xf numFmtId="0" fontId="25" fillId="15" borderId="3" xfId="0" applyFont="1" applyFill="1" applyBorder="1" applyAlignment="1">
      <alignment horizontal="center" vertical="center" wrapText="1"/>
    </xf>
    <xf numFmtId="3" fontId="25" fillId="15" borderId="3" xfId="0" applyNumberFormat="1" applyFont="1" applyFill="1" applyBorder="1" applyAlignment="1">
      <alignment horizontal="center" vertical="center" wrapText="1"/>
    </xf>
    <xf numFmtId="42" fontId="4" fillId="0" borderId="3" xfId="2" applyNumberFormat="1" applyFont="1" applyFill="1" applyBorder="1" applyAlignment="1">
      <alignment horizontal="center" vertical="center"/>
    </xf>
    <xf numFmtId="164" fontId="4" fillId="0" borderId="3" xfId="0" applyNumberFormat="1" applyFont="1" applyBorder="1" applyAlignment="1">
      <alignment horizontal="center" vertical="center"/>
    </xf>
    <xf numFmtId="164" fontId="4" fillId="0" borderId="8" xfId="0" applyNumberFormat="1" applyFont="1" applyBorder="1" applyAlignment="1">
      <alignment horizontal="center" vertical="center"/>
    </xf>
    <xf numFmtId="0" fontId="25" fillId="0" borderId="3" xfId="0" applyFont="1" applyBorder="1" applyAlignment="1">
      <alignment horizontal="right" vertical="center"/>
    </xf>
    <xf numFmtId="42" fontId="4" fillId="20" borderId="3" xfId="2" applyNumberFormat="1" applyFont="1" applyFill="1" applyBorder="1" applyAlignment="1">
      <alignment horizontal="center" vertical="center"/>
    </xf>
    <xf numFmtId="164" fontId="4" fillId="20" borderId="3" xfId="0" applyNumberFormat="1" applyFont="1" applyFill="1" applyBorder="1" applyAlignment="1">
      <alignment horizontal="center" vertical="center"/>
    </xf>
    <xf numFmtId="164" fontId="4" fillId="20" borderId="8" xfId="0" applyNumberFormat="1" applyFont="1" applyFill="1" applyBorder="1" applyAlignment="1">
      <alignment horizontal="center" vertical="center"/>
    </xf>
    <xf numFmtId="164" fontId="4" fillId="20" borderId="3" xfId="0" applyNumberFormat="1" applyFont="1" applyFill="1" applyBorder="1" applyAlignment="1">
      <alignment horizontal="center" vertical="center" wrapText="1"/>
    </xf>
    <xf numFmtId="0" fontId="25" fillId="20" borderId="3" xfId="0" applyFont="1" applyFill="1" applyBorder="1" applyAlignment="1">
      <alignment horizontal="right" vertical="center" wrapText="1"/>
    </xf>
    <xf numFmtId="0" fontId="25" fillId="20" borderId="3" xfId="0" applyFont="1" applyFill="1" applyBorder="1" applyAlignment="1">
      <alignment horizontal="right" vertical="center"/>
    </xf>
    <xf numFmtId="0" fontId="4" fillId="20" borderId="3" xfId="0" applyFont="1" applyFill="1" applyBorder="1" applyAlignment="1">
      <alignment horizontal="center" vertical="center"/>
    </xf>
    <xf numFmtId="0" fontId="4" fillId="20" borderId="8" xfId="0" applyFont="1" applyFill="1" applyBorder="1" applyAlignment="1">
      <alignment horizontal="center" vertical="center"/>
    </xf>
    <xf numFmtId="44" fontId="4" fillId="2" borderId="3" xfId="2" applyFont="1" applyFill="1" applyBorder="1" applyAlignment="1">
      <alignment horizontal="right" vertical="center"/>
    </xf>
    <xf numFmtId="0" fontId="4" fillId="27" borderId="3" xfId="0" applyFont="1" applyFill="1" applyBorder="1" applyAlignment="1">
      <alignment horizontal="right" vertical="center"/>
    </xf>
    <xf numFmtId="0" fontId="4" fillId="28" borderId="3" xfId="0" applyFont="1" applyFill="1" applyBorder="1" applyAlignment="1">
      <alignment horizontal="right" vertical="center"/>
    </xf>
    <xf numFmtId="0" fontId="4" fillId="21" borderId="3" xfId="0" applyFont="1" applyFill="1" applyBorder="1" applyAlignment="1">
      <alignment horizontal="center" vertical="center"/>
    </xf>
    <xf numFmtId="0" fontId="25" fillId="15" borderId="3" xfId="0" applyFont="1" applyFill="1" applyBorder="1" applyAlignment="1">
      <alignment horizontal="right" vertical="center"/>
    </xf>
    <xf numFmtId="37" fontId="4" fillId="2" borderId="3" xfId="0" applyNumberFormat="1" applyFont="1" applyFill="1" applyBorder="1" applyAlignment="1">
      <alignment horizontal="center" vertical="center"/>
    </xf>
    <xf numFmtId="1" fontId="4" fillId="2" borderId="3" xfId="0" applyNumberFormat="1" applyFont="1" applyFill="1" applyBorder="1" applyAlignment="1">
      <alignment horizontal="center" vertical="center"/>
    </xf>
    <xf numFmtId="0" fontId="0" fillId="0" borderId="0" xfId="0" applyAlignment="1">
      <alignment vertical="center"/>
    </xf>
    <xf numFmtId="0" fontId="0" fillId="0" borderId="0" xfId="0" applyAlignment="1">
      <alignment horizontal="left" vertical="center"/>
    </xf>
    <xf numFmtId="0" fontId="35" fillId="0" borderId="0" xfId="0" applyFont="1" applyAlignment="1">
      <alignment horizontal="left" vertical="top"/>
    </xf>
    <xf numFmtId="0" fontId="21" fillId="0" borderId="0" xfId="0" applyFont="1" applyAlignment="1">
      <alignment vertical="center"/>
    </xf>
    <xf numFmtId="0" fontId="39" fillId="0" borderId="0" xfId="0" applyFont="1" applyAlignment="1">
      <alignment horizontal="left" vertical="center"/>
    </xf>
    <xf numFmtId="0" fontId="11" fillId="0" borderId="0" xfId="0" applyFont="1" applyAlignment="1">
      <alignment vertical="top" wrapText="1"/>
    </xf>
    <xf numFmtId="0" fontId="11" fillId="0" borderId="0" xfId="0" applyFont="1" applyAlignment="1">
      <alignment vertical="center"/>
    </xf>
    <xf numFmtId="0" fontId="11" fillId="0" borderId="0" xfId="0" applyFont="1" applyAlignment="1">
      <alignment horizontal="left" vertical="center"/>
    </xf>
    <xf numFmtId="0" fontId="1" fillId="26" borderId="3" xfId="0" applyFont="1" applyFill="1" applyBorder="1" applyAlignment="1">
      <alignment horizontal="left" vertical="center"/>
    </xf>
    <xf numFmtId="44" fontId="4" fillId="4" borderId="9" xfId="2" applyFont="1" applyFill="1" applyBorder="1" applyAlignment="1">
      <alignment horizontal="left" vertical="center"/>
    </xf>
    <xf numFmtId="44" fontId="4" fillId="4" borderId="5" xfId="2" applyFont="1" applyFill="1" applyBorder="1" applyAlignment="1">
      <alignment horizontal="left" vertical="center"/>
    </xf>
    <xf numFmtId="44" fontId="4" fillId="4" borderId="8" xfId="2" applyFont="1" applyFill="1" applyBorder="1" applyAlignment="1">
      <alignment horizontal="left" vertical="center"/>
    </xf>
    <xf numFmtId="0" fontId="1" fillId="4" borderId="3" xfId="0" applyFont="1" applyFill="1" applyBorder="1" applyAlignment="1">
      <alignment horizontal="left" vertical="center"/>
    </xf>
    <xf numFmtId="44" fontId="4" fillId="0" borderId="3" xfId="2" applyFont="1" applyBorder="1" applyAlignment="1">
      <alignment horizontal="center" vertical="center"/>
    </xf>
    <xf numFmtId="44" fontId="4" fillId="0" borderId="3" xfId="2" applyFont="1" applyFill="1" applyBorder="1" applyAlignment="1">
      <alignment horizontal="center" vertical="center"/>
    </xf>
    <xf numFmtId="0" fontId="19" fillId="0" borderId="3" xfId="0" applyFont="1" applyBorder="1" applyAlignment="1">
      <alignment horizontal="center" vertical="center"/>
    </xf>
    <xf numFmtId="0" fontId="25" fillId="26" borderId="3" xfId="0" applyFont="1" applyFill="1" applyBorder="1" applyAlignment="1">
      <alignment horizontal="left" vertical="center"/>
    </xf>
    <xf numFmtId="0" fontId="0" fillId="0" borderId="15" xfId="0" applyBorder="1" applyAlignment="1">
      <alignment horizontal="center" vertical="center"/>
    </xf>
    <xf numFmtId="0" fontId="4" fillId="0" borderId="15" xfId="0" applyFont="1" applyBorder="1" applyAlignment="1">
      <alignment horizontal="center" vertical="center"/>
    </xf>
    <xf numFmtId="0" fontId="25" fillId="26" borderId="15" xfId="0" applyFont="1" applyFill="1" applyBorder="1" applyAlignment="1">
      <alignment horizontal="left" vertical="center"/>
    </xf>
    <xf numFmtId="0" fontId="1" fillId="26" borderId="3" xfId="0" applyFont="1" applyFill="1" applyBorder="1" applyAlignment="1">
      <alignment vertical="center"/>
    </xf>
    <xf numFmtId="0" fontId="4" fillId="0" borderId="3" xfId="0" applyFont="1" applyBorder="1" applyAlignment="1">
      <alignment horizontal="center" vertical="center" wrapText="1"/>
    </xf>
    <xf numFmtId="3" fontId="0" fillId="0" borderId="3" xfId="0" applyNumberFormat="1" applyBorder="1" applyAlignment="1">
      <alignment horizontal="center" vertical="center"/>
    </xf>
    <xf numFmtId="0" fontId="25" fillId="0" borderId="3" xfId="0" applyFont="1" applyBorder="1" applyAlignment="1">
      <alignment horizontal="center" vertical="center"/>
    </xf>
    <xf numFmtId="0" fontId="25" fillId="15" borderId="3" xfId="0" applyFont="1" applyFill="1" applyBorder="1" applyAlignment="1">
      <alignment horizontal="left" vertical="center" wrapText="1"/>
    </xf>
    <xf numFmtId="0" fontId="4" fillId="27" borderId="0" xfId="0" applyFont="1" applyFill="1" applyAlignment="1">
      <alignment vertical="center"/>
    </xf>
    <xf numFmtId="0" fontId="4" fillId="27" borderId="0" xfId="0" applyFont="1" applyFill="1" applyAlignment="1">
      <alignment horizontal="left" vertical="center"/>
    </xf>
    <xf numFmtId="0" fontId="4" fillId="27" borderId="0" xfId="0" applyFont="1" applyFill="1" applyAlignment="1">
      <alignment horizontal="center" vertical="center"/>
    </xf>
    <xf numFmtId="3" fontId="4" fillId="27" borderId="0" xfId="0" applyNumberFormat="1" applyFont="1" applyFill="1" applyAlignment="1">
      <alignment horizontal="center" vertical="center"/>
    </xf>
    <xf numFmtId="42" fontId="4" fillId="27" borderId="0" xfId="0" applyNumberFormat="1" applyFont="1" applyFill="1" applyAlignment="1">
      <alignment horizontal="center" vertical="center"/>
    </xf>
    <xf numFmtId="169" fontId="4" fillId="27" borderId="0" xfId="0" applyNumberFormat="1" applyFont="1" applyFill="1" applyAlignment="1">
      <alignment vertical="center"/>
    </xf>
    <xf numFmtId="0" fontId="25" fillId="27" borderId="3" xfId="0" applyFont="1" applyFill="1" applyBorder="1" applyAlignment="1">
      <alignment horizontal="center" vertical="center"/>
    </xf>
    <xf numFmtId="0" fontId="4" fillId="27" borderId="3" xfId="0" applyFont="1" applyFill="1" applyBorder="1" applyAlignment="1">
      <alignment vertical="center"/>
    </xf>
    <xf numFmtId="0" fontId="0" fillId="29" borderId="3" xfId="0" applyFill="1" applyBorder="1" applyAlignment="1">
      <alignment horizontal="left" vertical="center"/>
    </xf>
    <xf numFmtId="0" fontId="25" fillId="29" borderId="69" xfId="0" applyFont="1" applyFill="1" applyBorder="1" applyAlignment="1">
      <alignment horizontal="center" vertical="center"/>
    </xf>
    <xf numFmtId="0" fontId="1" fillId="29" borderId="43" xfId="0" applyFont="1" applyFill="1" applyBorder="1" applyAlignment="1">
      <alignment horizontal="center" vertical="center"/>
    </xf>
    <xf numFmtId="0" fontId="16" fillId="29" borderId="8" xfId="0" applyFont="1" applyFill="1" applyBorder="1" applyAlignment="1">
      <alignment vertical="center"/>
    </xf>
    <xf numFmtId="0" fontId="16" fillId="29" borderId="5" xfId="0" applyFont="1" applyFill="1" applyBorder="1" applyAlignment="1">
      <alignment vertical="center"/>
    </xf>
    <xf numFmtId="0" fontId="16" fillId="29" borderId="5" xfId="0" applyFont="1" applyFill="1" applyBorder="1" applyAlignment="1">
      <alignment horizontal="left" vertical="center"/>
    </xf>
    <xf numFmtId="0" fontId="41" fillId="29" borderId="5" xfId="0" applyFont="1" applyFill="1" applyBorder="1" applyAlignment="1">
      <alignment horizontal="left" vertical="center"/>
    </xf>
    <xf numFmtId="0" fontId="0" fillId="27" borderId="0" xfId="0" applyFill="1" applyAlignment="1">
      <alignment horizontal="left" vertical="center"/>
    </xf>
    <xf numFmtId="0" fontId="0" fillId="27" borderId="0" xfId="0" applyFill="1" applyAlignment="1">
      <alignment horizontal="center" vertical="center"/>
    </xf>
    <xf numFmtId="0" fontId="0" fillId="27" borderId="0" xfId="0" applyFill="1" applyAlignment="1">
      <alignment vertical="center"/>
    </xf>
    <xf numFmtId="0" fontId="37" fillId="27" borderId="3" xfId="0" applyFont="1" applyFill="1" applyBorder="1" applyAlignment="1">
      <alignment horizontal="center" vertical="center" wrapText="1"/>
    </xf>
    <xf numFmtId="0" fontId="0" fillId="27" borderId="3" xfId="0" applyFill="1" applyBorder="1" applyAlignment="1">
      <alignment horizontal="center" vertical="center"/>
    </xf>
    <xf numFmtId="0" fontId="0" fillId="27" borderId="3" xfId="0" applyFill="1" applyBorder="1" applyAlignment="1">
      <alignment horizontal="left" vertical="center"/>
    </xf>
    <xf numFmtId="9" fontId="0" fillId="0" borderId="0" xfId="6" applyFont="1"/>
    <xf numFmtId="0" fontId="1" fillId="0" borderId="3" xfId="0" applyFont="1" applyBorder="1" applyAlignment="1">
      <alignment horizontal="center"/>
    </xf>
    <xf numFmtId="0" fontId="0" fillId="0" borderId="0" xfId="0" applyAlignment="1">
      <alignment horizontal="left" vertical="top" wrapText="1"/>
    </xf>
    <xf numFmtId="0" fontId="43" fillId="0" borderId="0" xfId="0" applyFont="1" applyAlignment="1">
      <alignment horizontal="left" vertical="top" wrapText="1"/>
    </xf>
    <xf numFmtId="0" fontId="43" fillId="0" borderId="0" xfId="0" applyFont="1" applyAlignment="1">
      <alignment wrapText="1"/>
    </xf>
    <xf numFmtId="0" fontId="11" fillId="0" borderId="0" xfId="0" applyFont="1" applyAlignment="1">
      <alignment horizontal="left" vertical="center" wrapText="1"/>
    </xf>
    <xf numFmtId="0" fontId="0" fillId="0" borderId="0" xfId="0" applyAlignment="1">
      <alignment horizontal="left" wrapText="1"/>
    </xf>
    <xf numFmtId="9" fontId="21" fillId="2" borderId="3" xfId="6" applyFont="1" applyFill="1" applyBorder="1"/>
    <xf numFmtId="0" fontId="48" fillId="0" borderId="0" xfId="0" applyFont="1" applyAlignment="1">
      <alignment horizontal="left" vertical="center"/>
    </xf>
    <xf numFmtId="0" fontId="39" fillId="0" borderId="0" xfId="0" applyFont="1" applyAlignment="1">
      <alignment vertical="top"/>
    </xf>
    <xf numFmtId="0" fontId="11" fillId="0" borderId="0" xfId="0" applyFont="1" applyAlignment="1">
      <alignment vertical="center" wrapText="1"/>
    </xf>
    <xf numFmtId="0" fontId="35" fillId="0" borderId="0" xfId="0" applyFont="1" applyAlignment="1">
      <alignment vertical="top"/>
    </xf>
    <xf numFmtId="0" fontId="4" fillId="0" borderId="0" xfId="0" applyFont="1" applyAlignment="1">
      <alignment horizontal="center" wrapText="1"/>
    </xf>
    <xf numFmtId="0" fontId="0" fillId="3" borderId="3" xfId="0" applyFill="1" applyBorder="1" applyAlignment="1">
      <alignment horizontal="right" wrapText="1"/>
    </xf>
    <xf numFmtId="49" fontId="0" fillId="3" borderId="3" xfId="0" applyNumberFormat="1" applyFill="1" applyBorder="1" applyAlignment="1">
      <alignment horizontal="right" wrapText="1"/>
    </xf>
    <xf numFmtId="0" fontId="35" fillId="0" borderId="3" xfId="0" applyFont="1" applyBorder="1"/>
    <xf numFmtId="3" fontId="0" fillId="0" borderId="3" xfId="0" applyNumberFormat="1" applyBorder="1" applyAlignment="1">
      <alignment horizontal="center"/>
    </xf>
    <xf numFmtId="0" fontId="0" fillId="0" borderId="3" xfId="0" applyBorder="1" applyAlignment="1">
      <alignment horizontal="left" wrapText="1"/>
    </xf>
    <xf numFmtId="0" fontId="4" fillId="27" borderId="8" xfId="0" applyFont="1" applyFill="1" applyBorder="1" applyAlignment="1">
      <alignment vertical="center"/>
    </xf>
    <xf numFmtId="0" fontId="4" fillId="27" borderId="5" xfId="0" applyFont="1" applyFill="1" applyBorder="1" applyAlignment="1">
      <alignment vertical="center"/>
    </xf>
    <xf numFmtId="0" fontId="4" fillId="27" borderId="9" xfId="0" applyFont="1" applyFill="1" applyBorder="1" applyAlignment="1">
      <alignment vertical="center"/>
    </xf>
    <xf numFmtId="0" fontId="4" fillId="0" borderId="3" xfId="0" applyFont="1" applyBorder="1" applyAlignment="1">
      <alignment wrapText="1"/>
    </xf>
    <xf numFmtId="0" fontId="49" fillId="0" borderId="0" xfId="0" applyFont="1" applyAlignment="1">
      <alignment horizontal="center"/>
    </xf>
    <xf numFmtId="0" fontId="11" fillId="0" borderId="0" xfId="0" applyFont="1" applyAlignment="1">
      <alignment horizontal="left" vertical="top" wrapText="1"/>
    </xf>
    <xf numFmtId="0" fontId="50" fillId="0" borderId="3" xfId="0" applyFont="1" applyBorder="1" applyAlignment="1">
      <alignment wrapText="1"/>
    </xf>
    <xf numFmtId="0" fontId="51" fillId="0" borderId="3" xfId="0" applyFont="1" applyBorder="1" applyAlignment="1">
      <alignment horizontal="center" vertical="center"/>
    </xf>
    <xf numFmtId="0" fontId="4" fillId="0" borderId="0" xfId="0" applyFont="1"/>
    <xf numFmtId="0" fontId="40" fillId="29" borderId="5" xfId="0" applyFont="1" applyFill="1" applyBorder="1" applyAlignment="1">
      <alignment vertical="center"/>
    </xf>
    <xf numFmtId="0" fontId="40" fillId="29" borderId="79" xfId="0" applyFont="1" applyFill="1" applyBorder="1" applyAlignment="1">
      <alignment vertical="center"/>
    </xf>
    <xf numFmtId="0" fontId="4" fillId="0" borderId="80" xfId="0" applyFont="1" applyBorder="1" applyAlignment="1">
      <alignment vertical="center"/>
    </xf>
    <xf numFmtId="0" fontId="4" fillId="0" borderId="69" xfId="0" applyFont="1" applyBorder="1" applyAlignment="1">
      <alignment horizontal="center" vertical="center"/>
    </xf>
    <xf numFmtId="0" fontId="4" fillId="0" borderId="43" xfId="0" applyFont="1" applyBorder="1" applyAlignment="1">
      <alignment horizontal="center" vertical="center"/>
    </xf>
    <xf numFmtId="44" fontId="4" fillId="0" borderId="43" xfId="2" applyFont="1" applyBorder="1" applyAlignment="1">
      <alignment horizontal="center" vertical="center"/>
    </xf>
    <xf numFmtId="0" fontId="25" fillId="26" borderId="82" xfId="0" applyFont="1" applyFill="1" applyBorder="1" applyAlignment="1">
      <alignment vertical="center"/>
    </xf>
    <xf numFmtId="10" fontId="4" fillId="0" borderId="81" xfId="6" applyNumberFormat="1" applyFont="1" applyBorder="1" applyAlignment="1">
      <alignment horizontal="center" vertical="center"/>
    </xf>
    <xf numFmtId="44" fontId="4" fillId="0" borderId="84" xfId="2" applyFont="1" applyFill="1" applyBorder="1" applyAlignment="1">
      <alignment vertical="center"/>
    </xf>
    <xf numFmtId="0" fontId="4" fillId="0" borderId="75" xfId="0" applyFont="1" applyBorder="1" applyAlignment="1">
      <alignment vertical="center"/>
    </xf>
    <xf numFmtId="0" fontId="4" fillId="0" borderId="70" xfId="0" applyFont="1" applyBorder="1" applyAlignment="1">
      <alignment horizontal="center" vertical="center"/>
    </xf>
    <xf numFmtId="44" fontId="4" fillId="0" borderId="15" xfId="2" applyFont="1" applyBorder="1" applyAlignment="1">
      <alignment horizontal="center" vertical="center"/>
    </xf>
    <xf numFmtId="10" fontId="4" fillId="0" borderId="74" xfId="6" applyNumberFormat="1" applyFont="1" applyBorder="1" applyAlignment="1">
      <alignment horizontal="center" vertical="center"/>
    </xf>
    <xf numFmtId="0" fontId="4" fillId="0" borderId="85" xfId="0" applyFont="1" applyBorder="1" applyAlignment="1">
      <alignment vertical="center"/>
    </xf>
    <xf numFmtId="0" fontId="25" fillId="26" borderId="83" xfId="0" applyFont="1" applyFill="1" applyBorder="1" applyAlignment="1">
      <alignment vertical="center"/>
    </xf>
    <xf numFmtId="44" fontId="4" fillId="26" borderId="86" xfId="2" applyFont="1" applyFill="1" applyBorder="1" applyAlignment="1">
      <alignment vertical="center"/>
    </xf>
    <xf numFmtId="0" fontId="25" fillId="20" borderId="46" xfId="0" applyFont="1" applyFill="1" applyBorder="1" applyAlignment="1">
      <alignment horizontal="center" vertical="center"/>
    </xf>
    <xf numFmtId="0" fontId="25" fillId="20" borderId="45" xfId="0" applyFont="1" applyFill="1" applyBorder="1" applyAlignment="1">
      <alignment horizontal="center" vertical="center"/>
    </xf>
    <xf numFmtId="0" fontId="25" fillId="20" borderId="37" xfId="0" applyFont="1" applyFill="1" applyBorder="1" applyAlignment="1">
      <alignment horizontal="center" vertical="center"/>
    </xf>
    <xf numFmtId="165" fontId="0" fillId="26" borderId="3" xfId="0" applyNumberFormat="1" applyFill="1" applyBorder="1" applyAlignment="1">
      <alignment horizontal="center"/>
    </xf>
    <xf numFmtId="0" fontId="0" fillId="0" borderId="3" xfId="0" applyBorder="1" applyAlignment="1">
      <alignment vertical="center"/>
    </xf>
    <xf numFmtId="0" fontId="25" fillId="4" borderId="3" xfId="0" applyFont="1" applyFill="1" applyBorder="1" applyAlignment="1">
      <alignment horizontal="left" vertical="center"/>
    </xf>
    <xf numFmtId="0" fontId="4" fillId="4" borderId="3" xfId="0" applyFont="1" applyFill="1" applyBorder="1" applyAlignment="1">
      <alignment horizontal="center" vertical="center"/>
    </xf>
    <xf numFmtId="0" fontId="0" fillId="4" borderId="3" xfId="0" applyFill="1" applyBorder="1" applyAlignment="1">
      <alignment horizontal="center" vertical="center"/>
    </xf>
    <xf numFmtId="0" fontId="55" fillId="0" borderId="0" xfId="0" applyFont="1"/>
    <xf numFmtId="9" fontId="0" fillId="30" borderId="6" xfId="0" applyNumberFormat="1" applyFill="1" applyBorder="1" applyAlignment="1">
      <alignment horizontal="center"/>
    </xf>
    <xf numFmtId="0" fontId="0" fillId="30" borderId="2" xfId="0" applyFill="1" applyBorder="1" applyAlignment="1">
      <alignment horizontal="center"/>
    </xf>
    <xf numFmtId="9" fontId="0" fillId="31" borderId="6" xfId="0" applyNumberFormat="1" applyFill="1" applyBorder="1" applyAlignment="1">
      <alignment horizontal="center"/>
    </xf>
    <xf numFmtId="0" fontId="0" fillId="31" borderId="2" xfId="0" applyFill="1" applyBorder="1" applyAlignment="1">
      <alignment horizontal="center"/>
    </xf>
    <xf numFmtId="0" fontId="11" fillId="0" borderId="0" xfId="0" applyFont="1" applyAlignment="1">
      <alignment wrapText="1"/>
    </xf>
    <xf numFmtId="0" fontId="1" fillId="7" borderId="3" xfId="0" applyFont="1" applyFill="1" applyBorder="1" applyAlignment="1">
      <alignment horizontal="center" vertical="center"/>
    </xf>
    <xf numFmtId="0" fontId="0" fillId="21" borderId="0" xfId="0" applyFill="1" applyAlignment="1">
      <alignment horizontal="center" vertical="center"/>
    </xf>
    <xf numFmtId="43" fontId="0" fillId="21" borderId="0" xfId="1" applyFont="1" applyFill="1" applyAlignment="1">
      <alignment horizontal="center" vertical="center"/>
    </xf>
    <xf numFmtId="173" fontId="0" fillId="21" borderId="0" xfId="2" applyNumberFormat="1" applyFont="1" applyFill="1" applyAlignment="1">
      <alignment horizontal="center" vertical="center"/>
    </xf>
    <xf numFmtId="173" fontId="0" fillId="21" borderId="0" xfId="2" applyNumberFormat="1" applyFont="1" applyFill="1"/>
    <xf numFmtId="1" fontId="0" fillId="21" borderId="0" xfId="2" applyNumberFormat="1" applyFont="1" applyFill="1"/>
    <xf numFmtId="43" fontId="0" fillId="21" borderId="0" xfId="1" applyFont="1" applyFill="1" applyAlignment="1">
      <alignment horizontal="right" vertical="center"/>
    </xf>
    <xf numFmtId="0" fontId="0" fillId="21" borderId="3" xfId="0" applyFill="1" applyBorder="1" applyAlignment="1">
      <alignment horizontal="center" vertical="center"/>
    </xf>
    <xf numFmtId="43" fontId="0" fillId="21" borderId="3" xfId="1" applyFont="1" applyFill="1" applyBorder="1" applyAlignment="1">
      <alignment horizontal="center" vertical="center"/>
    </xf>
    <xf numFmtId="173" fontId="0" fillId="21" borderId="3" xfId="2" applyNumberFormat="1" applyFont="1" applyFill="1" applyBorder="1" applyAlignment="1">
      <alignment horizontal="center" vertical="center"/>
    </xf>
    <xf numFmtId="9" fontId="0" fillId="21" borderId="3" xfId="6" applyFont="1" applyFill="1" applyBorder="1" applyAlignment="1">
      <alignment horizontal="center" vertical="center"/>
    </xf>
    <xf numFmtId="0" fontId="0" fillId="15" borderId="88" xfId="0" applyFill="1" applyBorder="1" applyAlignment="1">
      <alignment horizontal="center" vertical="center"/>
    </xf>
    <xf numFmtId="0" fontId="0" fillId="15" borderId="10" xfId="0" applyFill="1" applyBorder="1" applyAlignment="1">
      <alignment horizontal="center" vertical="center"/>
    </xf>
    <xf numFmtId="43" fontId="0" fillId="15" borderId="10" xfId="1" applyFont="1" applyFill="1" applyBorder="1" applyAlignment="1">
      <alignment horizontal="center" vertical="center"/>
    </xf>
    <xf numFmtId="173" fontId="0" fillId="15" borderId="10" xfId="2" applyNumberFormat="1" applyFont="1" applyFill="1" applyBorder="1"/>
    <xf numFmtId="1" fontId="0" fillId="15" borderId="10" xfId="2" applyNumberFormat="1" applyFont="1" applyFill="1" applyBorder="1"/>
    <xf numFmtId="173" fontId="0" fillId="15" borderId="70" xfId="2" applyNumberFormat="1" applyFont="1" applyFill="1" applyBorder="1"/>
    <xf numFmtId="0" fontId="0" fillId="15" borderId="89" xfId="0" applyFill="1" applyBorder="1" applyAlignment="1">
      <alignment horizontal="center" vertical="center"/>
    </xf>
    <xf numFmtId="0" fontId="0" fillId="15" borderId="4" xfId="0" applyFill="1" applyBorder="1" applyAlignment="1">
      <alignment horizontal="center" vertical="center"/>
    </xf>
    <xf numFmtId="43" fontId="0" fillId="15" borderId="4" xfId="1" applyFont="1" applyFill="1" applyBorder="1" applyAlignment="1">
      <alignment horizontal="center" vertical="center"/>
    </xf>
    <xf numFmtId="173" fontId="0" fillId="15" borderId="4" xfId="2" applyNumberFormat="1" applyFont="1" applyFill="1" applyBorder="1"/>
    <xf numFmtId="1" fontId="0" fillId="15" borderId="4" xfId="2" applyNumberFormat="1" applyFont="1" applyFill="1" applyBorder="1"/>
    <xf numFmtId="173" fontId="0" fillId="15" borderId="69" xfId="2" applyNumberFormat="1" applyFont="1" applyFill="1" applyBorder="1"/>
    <xf numFmtId="0" fontId="0" fillId="15" borderId="8" xfId="0" applyFill="1" applyBorder="1" applyAlignment="1">
      <alignment horizontal="center" vertical="center"/>
    </xf>
    <xf numFmtId="0" fontId="0" fillId="15" borderId="5" xfId="0" applyFill="1" applyBorder="1" applyAlignment="1">
      <alignment horizontal="center" vertical="center"/>
    </xf>
    <xf numFmtId="43" fontId="0" fillId="15" borderId="5" xfId="1" applyFont="1" applyFill="1" applyBorder="1" applyAlignment="1">
      <alignment horizontal="center" vertical="center"/>
    </xf>
    <xf numFmtId="173" fontId="0" fillId="15" borderId="5" xfId="2" applyNumberFormat="1" applyFont="1" applyFill="1" applyBorder="1"/>
    <xf numFmtId="173" fontId="0" fillId="15" borderId="5" xfId="2" applyNumberFormat="1" applyFont="1" applyFill="1" applyBorder="1" applyAlignment="1">
      <alignment horizontal="center" vertical="center"/>
    </xf>
    <xf numFmtId="0" fontId="0" fillId="15" borderId="48" xfId="0" applyFill="1" applyBorder="1" applyAlignment="1">
      <alignment horizontal="center" vertical="center"/>
    </xf>
    <xf numFmtId="0" fontId="0" fillId="15" borderId="0" xfId="0" applyFill="1" applyAlignment="1">
      <alignment horizontal="center" vertical="center"/>
    </xf>
    <xf numFmtId="43" fontId="0" fillId="15" borderId="0" xfId="1" applyFont="1" applyFill="1" applyBorder="1" applyAlignment="1">
      <alignment horizontal="center" vertical="center"/>
    </xf>
    <xf numFmtId="173" fontId="0" fillId="15" borderId="0" xfId="2" applyNumberFormat="1" applyFont="1" applyFill="1" applyBorder="1"/>
    <xf numFmtId="1" fontId="0" fillId="15" borderId="0" xfId="2" applyNumberFormat="1" applyFont="1" applyFill="1" applyBorder="1"/>
    <xf numFmtId="173" fontId="0" fillId="15" borderId="47" xfId="2" applyNumberFormat="1" applyFont="1" applyFill="1" applyBorder="1"/>
    <xf numFmtId="0" fontId="0" fillId="21" borderId="0" xfId="0" applyFill="1"/>
    <xf numFmtId="0" fontId="0" fillId="21" borderId="0" xfId="0" applyFill="1" applyAlignment="1">
      <alignment vertical="center"/>
    </xf>
    <xf numFmtId="0" fontId="11" fillId="21" borderId="0" xfId="0" applyFont="1" applyFill="1"/>
    <xf numFmtId="0" fontId="1" fillId="21" borderId="0" xfId="0" applyFont="1" applyFill="1"/>
    <xf numFmtId="0" fontId="25" fillId="21" borderId="45" xfId="0" applyFont="1" applyFill="1" applyBorder="1" applyAlignment="1">
      <alignment horizontal="center" vertical="center"/>
    </xf>
    <xf numFmtId="0" fontId="25" fillId="21" borderId="37" xfId="0" applyFont="1" applyFill="1" applyBorder="1" applyAlignment="1">
      <alignment horizontal="center" vertical="center"/>
    </xf>
    <xf numFmtId="44" fontId="4" fillId="21" borderId="43" xfId="2" applyFont="1" applyFill="1" applyBorder="1" applyAlignment="1">
      <alignment horizontal="center" vertical="center"/>
    </xf>
    <xf numFmtId="10" fontId="4" fillId="21" borderId="81" xfId="6" applyNumberFormat="1" applyFont="1" applyFill="1" applyBorder="1" applyAlignment="1">
      <alignment horizontal="center" vertical="center"/>
    </xf>
    <xf numFmtId="44" fontId="4" fillId="21" borderId="15" xfId="2" applyFont="1" applyFill="1" applyBorder="1" applyAlignment="1">
      <alignment horizontal="center" vertical="center"/>
    </xf>
    <xf numFmtId="10" fontId="4" fillId="21" borderId="74" xfId="6" applyNumberFormat="1" applyFont="1" applyFill="1" applyBorder="1" applyAlignment="1">
      <alignment horizontal="center" vertical="center"/>
    </xf>
    <xf numFmtId="44" fontId="4" fillId="21" borderId="86" xfId="2" applyFont="1" applyFill="1" applyBorder="1" applyAlignment="1">
      <alignment vertical="center"/>
    </xf>
    <xf numFmtId="44" fontId="4" fillId="21" borderId="84" xfId="2" applyFont="1" applyFill="1" applyBorder="1" applyAlignment="1">
      <alignment vertical="center"/>
    </xf>
    <xf numFmtId="0" fontId="0" fillId="21" borderId="0" xfId="0" applyFill="1" applyAlignment="1">
      <alignment horizontal="center"/>
    </xf>
    <xf numFmtId="0" fontId="0" fillId="14" borderId="0" xfId="0" applyFill="1" applyAlignment="1">
      <alignment vertical="top" wrapText="1"/>
    </xf>
    <xf numFmtId="0" fontId="0" fillId="14" borderId="0" xfId="0" applyFill="1" applyAlignment="1">
      <alignment horizontal="center" vertical="top" wrapText="1"/>
    </xf>
    <xf numFmtId="9" fontId="0" fillId="14" borderId="0" xfId="6" applyFont="1" applyFill="1" applyAlignment="1">
      <alignment horizontal="center" vertical="top" wrapText="1"/>
    </xf>
    <xf numFmtId="173" fontId="0" fillId="14" borderId="0" xfId="2" applyNumberFormat="1" applyFont="1" applyFill="1" applyAlignment="1">
      <alignment horizontal="center" vertical="top" wrapText="1"/>
    </xf>
    <xf numFmtId="0" fontId="0" fillId="21" borderId="0" xfId="0" applyFill="1" applyAlignment="1">
      <alignment horizontal="center" vertical="top" wrapText="1"/>
    </xf>
    <xf numFmtId="0" fontId="0" fillId="15" borderId="0" xfId="0" applyFill="1" applyAlignment="1">
      <alignment horizontal="center" vertical="top" wrapText="1"/>
    </xf>
    <xf numFmtId="0" fontId="0" fillId="15" borderId="0" xfId="0" applyFill="1" applyAlignment="1">
      <alignment horizontal="center" vertical="center" wrapText="1"/>
    </xf>
    <xf numFmtId="0" fontId="0" fillId="15" borderId="0" xfId="0" applyFill="1" applyAlignment="1">
      <alignment vertical="center" wrapText="1"/>
    </xf>
    <xf numFmtId="0" fontId="0" fillId="15" borderId="0" xfId="0" applyFill="1" applyAlignment="1">
      <alignment wrapText="1"/>
    </xf>
    <xf numFmtId="0" fontId="0" fillId="21" borderId="0" xfId="0" applyFill="1" applyAlignment="1">
      <alignment wrapText="1"/>
    </xf>
    <xf numFmtId="9" fontId="0" fillId="21" borderId="0" xfId="6" applyFont="1" applyFill="1" applyAlignment="1">
      <alignment horizontal="center" vertical="center"/>
    </xf>
    <xf numFmtId="9" fontId="0" fillId="21" borderId="0" xfId="6" applyFont="1" applyFill="1"/>
    <xf numFmtId="9" fontId="0" fillId="0" borderId="0" xfId="6" applyFont="1" applyAlignment="1">
      <alignment horizontal="center"/>
    </xf>
    <xf numFmtId="164" fontId="0" fillId="0" borderId="0" xfId="0" applyNumberFormat="1" applyAlignment="1">
      <alignment horizontal="center"/>
    </xf>
    <xf numFmtId="0" fontId="0" fillId="21" borderId="48" xfId="0" applyFill="1" applyBorder="1" applyAlignment="1">
      <alignment horizontal="left"/>
    </xf>
    <xf numFmtId="0" fontId="1" fillId="32" borderId="90" xfId="0" applyFont="1" applyFill="1" applyBorder="1" applyAlignment="1">
      <alignment vertical="center"/>
    </xf>
    <xf numFmtId="0" fontId="1" fillId="32" borderId="91" xfId="0" applyFont="1" applyFill="1" applyBorder="1" applyAlignment="1">
      <alignment vertical="center" wrapText="1"/>
    </xf>
    <xf numFmtId="0" fontId="1" fillId="32" borderId="91" xfId="0" applyFont="1" applyFill="1" applyBorder="1" applyAlignment="1">
      <alignment horizontal="center" vertical="center" wrapText="1"/>
    </xf>
    <xf numFmtId="9" fontId="1" fillId="32" borderId="91" xfId="6" applyFont="1" applyFill="1" applyBorder="1" applyAlignment="1">
      <alignment horizontal="center" vertical="center" wrapText="1"/>
    </xf>
    <xf numFmtId="164" fontId="1" fillId="32" borderId="91" xfId="0" applyNumberFormat="1" applyFont="1" applyFill="1" applyBorder="1" applyAlignment="1">
      <alignment horizontal="center" vertical="center" wrapText="1"/>
    </xf>
    <xf numFmtId="0" fontId="1" fillId="32" borderId="91" xfId="0" applyFont="1" applyFill="1" applyBorder="1" applyAlignment="1">
      <alignment horizontal="center" vertical="center"/>
    </xf>
    <xf numFmtId="0" fontId="1" fillId="33" borderId="92" xfId="0" applyFont="1" applyFill="1" applyBorder="1" applyAlignment="1">
      <alignment horizontal="center" vertical="center"/>
    </xf>
    <xf numFmtId="0" fontId="0" fillId="21" borderId="0" xfId="0" applyFill="1" applyAlignment="1">
      <alignment horizontal="left"/>
    </xf>
    <xf numFmtId="0" fontId="0" fillId="0" borderId="93" xfId="0" applyBorder="1" applyAlignment="1">
      <alignment vertical="center"/>
    </xf>
    <xf numFmtId="0" fontId="0" fillId="21" borderId="0" xfId="0" applyFill="1" applyAlignment="1">
      <alignment horizontal="left" vertical="center"/>
    </xf>
    <xf numFmtId="0" fontId="0" fillId="0" borderId="97" xfId="0" applyBorder="1" applyAlignment="1">
      <alignment vertical="center"/>
    </xf>
    <xf numFmtId="0" fontId="0" fillId="0" borderId="101" xfId="0" applyBorder="1" applyAlignment="1">
      <alignment vertical="center"/>
    </xf>
    <xf numFmtId="9" fontId="0" fillId="21" borderId="0" xfId="6" applyFont="1" applyFill="1" applyAlignment="1">
      <alignment horizontal="center"/>
    </xf>
    <xf numFmtId="164" fontId="0" fillId="21" borderId="0" xfId="0" applyNumberFormat="1" applyFill="1" applyAlignment="1">
      <alignment horizontal="center"/>
    </xf>
    <xf numFmtId="0" fontId="23" fillId="0" borderId="0" xfId="0" applyFont="1"/>
    <xf numFmtId="0" fontId="22" fillId="0" borderId="0" xfId="0" applyFont="1"/>
    <xf numFmtId="0" fontId="59" fillId="0" borderId="0" xfId="0" applyFont="1"/>
    <xf numFmtId="9" fontId="0" fillId="0" borderId="94" xfId="6" applyFont="1" applyBorder="1" applyAlignment="1">
      <alignment horizontal="center" vertical="center"/>
    </xf>
    <xf numFmtId="9" fontId="0" fillId="0" borderId="98" xfId="6" applyFont="1" applyBorder="1" applyAlignment="1">
      <alignment horizontal="center" vertical="center"/>
    </xf>
    <xf numFmtId="9" fontId="0" fillId="0" borderId="102" xfId="6" applyFont="1" applyBorder="1" applyAlignment="1">
      <alignment horizontal="center" vertical="center"/>
    </xf>
    <xf numFmtId="0" fontId="67" fillId="32" borderId="91" xfId="0" applyFont="1" applyFill="1" applyBorder="1" applyAlignment="1">
      <alignment horizontal="center" vertical="center" wrapText="1"/>
    </xf>
    <xf numFmtId="0" fontId="0" fillId="0" borderId="94" xfId="0" applyBorder="1" applyAlignment="1">
      <alignment vertical="center"/>
    </xf>
    <xf numFmtId="0" fontId="0" fillId="0" borderId="94" xfId="0" applyBorder="1" applyAlignment="1">
      <alignment horizontal="center" vertical="center"/>
    </xf>
    <xf numFmtId="164" fontId="0" fillId="0" borderId="94" xfId="0" applyNumberFormat="1" applyBorder="1" applyAlignment="1">
      <alignment horizontal="center" vertical="center"/>
    </xf>
    <xf numFmtId="0" fontId="0" fillId="0" borderId="98" xfId="0" applyBorder="1" applyAlignment="1">
      <alignment vertical="center"/>
    </xf>
    <xf numFmtId="0" fontId="0" fillId="0" borderId="98" xfId="0" applyBorder="1" applyAlignment="1">
      <alignment horizontal="center" vertical="center"/>
    </xf>
    <xf numFmtId="164" fontId="0" fillId="0" borderId="98" xfId="0" applyNumberFormat="1" applyBorder="1" applyAlignment="1">
      <alignment horizontal="center" vertical="center"/>
    </xf>
    <xf numFmtId="0" fontId="0" fillId="0" borderId="102" xfId="0" applyBorder="1" applyAlignment="1">
      <alignment vertical="center"/>
    </xf>
    <xf numFmtId="0" fontId="0" fillId="0" borderId="102" xfId="0" applyBorder="1" applyAlignment="1">
      <alignment horizontal="center" vertical="center"/>
    </xf>
    <xf numFmtId="164" fontId="0" fillId="0" borderId="102" xfId="0" applyNumberFormat="1" applyBorder="1" applyAlignment="1">
      <alignment horizontal="center" vertical="center"/>
    </xf>
    <xf numFmtId="0" fontId="69" fillId="21" borderId="0" xfId="0" applyFont="1" applyFill="1" applyAlignment="1">
      <alignment wrapText="1"/>
    </xf>
    <xf numFmtId="0" fontId="69" fillId="0" borderId="0" xfId="0" applyFont="1" applyAlignment="1">
      <alignment wrapText="1"/>
    </xf>
    <xf numFmtId="0" fontId="0" fillId="21" borderId="0" xfId="0" applyFill="1" applyAlignment="1">
      <alignment horizontal="center" vertical="center" wrapText="1"/>
    </xf>
    <xf numFmtId="43" fontId="0" fillId="21" borderId="0" xfId="1" applyFont="1" applyFill="1" applyAlignment="1">
      <alignment horizontal="center" vertical="center" wrapText="1"/>
    </xf>
    <xf numFmtId="173" fontId="0" fillId="21" borderId="0" xfId="2" applyNumberFormat="1" applyFont="1" applyFill="1" applyAlignment="1">
      <alignment horizontal="center" vertical="center" wrapText="1"/>
    </xf>
    <xf numFmtId="173" fontId="0" fillId="21" borderId="0" xfId="2" applyNumberFormat="1" applyFont="1" applyFill="1" applyAlignment="1">
      <alignment wrapText="1"/>
    </xf>
    <xf numFmtId="0" fontId="35" fillId="21" borderId="0" xfId="0" applyFont="1" applyFill="1"/>
    <xf numFmtId="0" fontId="4" fillId="21" borderId="0" xfId="0" applyFont="1" applyFill="1" applyAlignment="1">
      <alignment horizontal="center" vertical="center" wrapText="1"/>
    </xf>
    <xf numFmtId="1" fontId="4" fillId="21" borderId="0" xfId="0" applyNumberFormat="1" applyFont="1" applyFill="1" applyAlignment="1">
      <alignment horizontal="center" vertical="center" wrapText="1"/>
    </xf>
    <xf numFmtId="167" fontId="0" fillId="21" borderId="0" xfId="0" applyNumberFormat="1" applyFill="1" applyAlignment="1">
      <alignment horizontal="center" vertical="center" wrapText="1"/>
    </xf>
    <xf numFmtId="167" fontId="4" fillId="21" borderId="0" xfId="0" applyNumberFormat="1" applyFont="1" applyFill="1" applyAlignment="1">
      <alignment horizontal="center" vertical="center" wrapText="1"/>
    </xf>
    <xf numFmtId="0" fontId="54" fillId="21" borderId="0" xfId="0" applyFont="1" applyFill="1"/>
    <xf numFmtId="0" fontId="1" fillId="21" borderId="0" xfId="0" applyFont="1" applyFill="1" applyAlignment="1">
      <alignment horizontal="centerContinuous"/>
    </xf>
    <xf numFmtId="0" fontId="0" fillId="21" borderId="0" xfId="0" applyFill="1" applyAlignment="1">
      <alignment horizontal="right"/>
    </xf>
    <xf numFmtId="0" fontId="1" fillId="0" borderId="0" xfId="0" applyFont="1" applyAlignment="1">
      <alignment horizontal="center" vertical="center"/>
    </xf>
    <xf numFmtId="0" fontId="0" fillId="0" borderId="1" xfId="0" applyBorder="1" applyAlignment="1">
      <alignment horizontal="center" vertical="center"/>
    </xf>
    <xf numFmtId="0" fontId="0" fillId="0" borderId="12" xfId="0" applyBorder="1" applyAlignment="1">
      <alignment horizontal="center" vertical="center"/>
    </xf>
    <xf numFmtId="0" fontId="0" fillId="0" borderId="11" xfId="0" applyBorder="1" applyAlignment="1">
      <alignment horizontal="center" vertical="center"/>
    </xf>
    <xf numFmtId="0" fontId="0" fillId="0" borderId="68" xfId="0" applyBorder="1" applyAlignment="1">
      <alignment horizontal="center" vertical="center"/>
    </xf>
    <xf numFmtId="0" fontId="0" fillId="0" borderId="67" xfId="0" applyBorder="1" applyAlignment="1">
      <alignment horizontal="center" vertical="center"/>
    </xf>
    <xf numFmtId="0" fontId="15" fillId="0" borderId="67" xfId="5" applyBorder="1" applyAlignment="1">
      <alignment horizontal="center" vertical="center"/>
    </xf>
    <xf numFmtId="14" fontId="0" fillId="0" borderId="66" xfId="0" applyNumberFormat="1" applyBorder="1" applyAlignment="1">
      <alignment horizontal="center" vertical="center"/>
    </xf>
    <xf numFmtId="0" fontId="5" fillId="21" borderId="0" xfId="0" applyFont="1" applyFill="1" applyAlignment="1">
      <alignment horizontal="left"/>
    </xf>
    <xf numFmtId="0" fontId="1" fillId="21" borderId="0" xfId="0" applyFont="1" applyFill="1" applyAlignment="1">
      <alignment horizontal="left" vertical="center"/>
    </xf>
    <xf numFmtId="0" fontId="1" fillId="27" borderId="3" xfId="0" applyFont="1" applyFill="1" applyBorder="1" applyAlignment="1">
      <alignment horizontal="left" vertical="center"/>
    </xf>
    <xf numFmtId="0" fontId="1" fillId="27" borderId="8" xfId="0" applyFont="1" applyFill="1" applyBorder="1" applyAlignment="1">
      <alignment horizontal="center" vertical="center"/>
    </xf>
    <xf numFmtId="0" fontId="1" fillId="27" borderId="9" xfId="0" applyFont="1" applyFill="1" applyBorder="1"/>
    <xf numFmtId="0" fontId="1" fillId="27" borderId="3" xfId="0" applyFont="1" applyFill="1" applyBorder="1"/>
    <xf numFmtId="0" fontId="0" fillId="21" borderId="3" xfId="0" applyFill="1" applyBorder="1" applyAlignment="1">
      <alignment vertical="center" wrapText="1"/>
    </xf>
    <xf numFmtId="0" fontId="0" fillId="21" borderId="3" xfId="0" applyFill="1" applyBorder="1" applyAlignment="1">
      <alignment wrapText="1"/>
    </xf>
    <xf numFmtId="0" fontId="4" fillId="21" borderId="3" xfId="0" applyFont="1" applyFill="1" applyBorder="1" applyAlignment="1">
      <alignment wrapText="1"/>
    </xf>
    <xf numFmtId="0" fontId="12" fillId="27" borderId="0" xfId="0" applyFont="1" applyFill="1" applyAlignment="1">
      <alignment horizontal="center" wrapText="1"/>
    </xf>
    <xf numFmtId="166" fontId="1" fillId="21" borderId="0" xfId="1" applyNumberFormat="1" applyFont="1" applyFill="1" applyAlignment="1">
      <alignment horizontal="center"/>
    </xf>
    <xf numFmtId="0" fontId="1" fillId="27" borderId="0" xfId="0" applyFont="1" applyFill="1"/>
    <xf numFmtId="173" fontId="1" fillId="27" borderId="0" xfId="2" applyNumberFormat="1" applyFont="1" applyFill="1" applyAlignment="1">
      <alignment horizontal="center" vertical="center"/>
    </xf>
    <xf numFmtId="9" fontId="1" fillId="27" borderId="0" xfId="6" applyFont="1" applyFill="1" applyAlignment="1">
      <alignment horizontal="center" vertical="center"/>
    </xf>
    <xf numFmtId="173" fontId="1" fillId="27" borderId="0" xfId="2" applyNumberFormat="1" applyFont="1" applyFill="1"/>
    <xf numFmtId="0" fontId="0" fillId="27" borderId="0" xfId="0" applyFill="1"/>
    <xf numFmtId="9" fontId="1" fillId="27" borderId="0" xfId="6" applyFont="1" applyFill="1"/>
    <xf numFmtId="169" fontId="0" fillId="21" borderId="0" xfId="0" applyNumberFormat="1" applyFill="1"/>
    <xf numFmtId="0" fontId="0" fillId="21" borderId="4" xfId="0" applyFill="1" applyBorder="1"/>
    <xf numFmtId="169" fontId="0" fillId="21" borderId="0" xfId="0" applyNumberFormat="1" applyFill="1" applyAlignment="1">
      <alignment horizontal="center"/>
    </xf>
    <xf numFmtId="0" fontId="0" fillId="21" borderId="0" xfId="0" applyFill="1" applyAlignment="1">
      <alignment horizontal="left" wrapText="1"/>
    </xf>
    <xf numFmtId="0" fontId="0" fillId="21" borderId="5" xfId="0" applyFill="1" applyBorder="1"/>
    <xf numFmtId="0" fontId="1" fillId="21" borderId="0" xfId="0" applyFont="1" applyFill="1" applyAlignment="1">
      <alignment horizontal="right"/>
    </xf>
    <xf numFmtId="8" fontId="0" fillId="21" borderId="0" xfId="0" applyNumberFormat="1" applyFill="1"/>
    <xf numFmtId="164" fontId="0" fillId="21" borderId="0" xfId="0" applyNumberFormat="1" applyFill="1"/>
    <xf numFmtId="0" fontId="0" fillId="0" borderId="0" xfId="0" applyAlignment="1">
      <alignment horizontal="left" vertical="center" wrapText="1"/>
    </xf>
    <xf numFmtId="0" fontId="0" fillId="0" borderId="0" xfId="0" applyAlignment="1">
      <alignment vertical="top" wrapText="1"/>
    </xf>
    <xf numFmtId="0" fontId="17" fillId="21" borderId="0" xfId="3" applyFont="1" applyFill="1" applyAlignment="1">
      <alignment horizontal="left" vertical="top"/>
    </xf>
    <xf numFmtId="0" fontId="17" fillId="21" borderId="0" xfId="3" applyFont="1" applyFill="1" applyAlignment="1" applyProtection="1">
      <alignment horizontal="left" vertical="top"/>
      <protection locked="0"/>
    </xf>
    <xf numFmtId="0" fontId="19" fillId="0" borderId="30" xfId="3" applyFont="1" applyBorder="1" applyAlignment="1">
      <alignment horizontal="left" vertical="center" wrapText="1"/>
    </xf>
    <xf numFmtId="0" fontId="3" fillId="21" borderId="0" xfId="0" applyFont="1" applyFill="1"/>
    <xf numFmtId="0" fontId="3" fillId="21" borderId="0" xfId="0" applyFont="1" applyFill="1" applyAlignment="1">
      <alignment horizontal="left"/>
    </xf>
    <xf numFmtId="0" fontId="17" fillId="21" borderId="0" xfId="3" applyFont="1" applyFill="1" applyAlignment="1">
      <alignment horizontal="center" vertical="top"/>
    </xf>
    <xf numFmtId="0" fontId="1" fillId="21" borderId="3" xfId="0" applyFont="1" applyFill="1" applyBorder="1" applyAlignment="1">
      <alignment horizontal="center" vertical="center"/>
    </xf>
    <xf numFmtId="0" fontId="1" fillId="21" borderId="3" xfId="0" applyFont="1" applyFill="1" applyBorder="1" applyAlignment="1">
      <alignment horizontal="center" vertical="center" wrapText="1"/>
    </xf>
    <xf numFmtId="0" fontId="53" fillId="21" borderId="0" xfId="0" applyFont="1" applyFill="1" applyAlignment="1">
      <alignment horizontal="left"/>
    </xf>
    <xf numFmtId="0" fontId="23" fillId="21" borderId="0" xfId="0" applyFont="1" applyFill="1"/>
    <xf numFmtId="0" fontId="35" fillId="21" borderId="4" xfId="0" applyFont="1" applyFill="1" applyBorder="1" applyAlignment="1">
      <alignment wrapText="1"/>
    </xf>
    <xf numFmtId="0" fontId="52" fillId="21" borderId="4" xfId="0" applyFont="1" applyFill="1" applyBorder="1" applyAlignment="1">
      <alignment wrapText="1"/>
    </xf>
    <xf numFmtId="0" fontId="52" fillId="21" borderId="0" xfId="0" applyFont="1" applyFill="1" applyAlignment="1">
      <alignment horizontal="left" wrapText="1"/>
    </xf>
    <xf numFmtId="0" fontId="1" fillId="21" borderId="5" xfId="0" applyFont="1" applyFill="1" applyBorder="1" applyAlignment="1">
      <alignment horizontal="center" wrapText="1"/>
    </xf>
    <xf numFmtId="0" fontId="1" fillId="21" borderId="9" xfId="0" applyFont="1" applyFill="1" applyBorder="1" applyAlignment="1">
      <alignment horizontal="center" wrapText="1"/>
    </xf>
    <xf numFmtId="0" fontId="0" fillId="15" borderId="4" xfId="0" applyFill="1" applyBorder="1" applyAlignment="1">
      <alignment horizontal="center"/>
    </xf>
    <xf numFmtId="0" fontId="0" fillId="32" borderId="0" xfId="0" applyFill="1" applyAlignment="1">
      <alignment horizontal="center"/>
    </xf>
    <xf numFmtId="0" fontId="0" fillId="21" borderId="38" xfId="0" applyFill="1" applyBorder="1"/>
    <xf numFmtId="0" fontId="0" fillId="21" borderId="37" xfId="0" applyFill="1" applyBorder="1"/>
    <xf numFmtId="0" fontId="1" fillId="21" borderId="46" xfId="0" applyFont="1" applyFill="1" applyBorder="1" applyAlignment="1">
      <alignment horizontal="center" vertical="center"/>
    </xf>
    <xf numFmtId="0" fontId="1" fillId="21" borderId="45" xfId="0" applyFont="1" applyFill="1" applyBorder="1" applyAlignment="1">
      <alignment horizontal="center" vertical="center"/>
    </xf>
    <xf numFmtId="0" fontId="0" fillId="21" borderId="80" xfId="0" applyFill="1" applyBorder="1" applyAlignment="1">
      <alignment vertical="center"/>
    </xf>
    <xf numFmtId="0" fontId="0" fillId="21" borderId="69" xfId="0" applyFill="1" applyBorder="1" applyAlignment="1">
      <alignment horizontal="center" vertical="center"/>
    </xf>
    <xf numFmtId="0" fontId="0" fillId="21" borderId="43" xfId="0" applyFill="1" applyBorder="1" applyAlignment="1">
      <alignment horizontal="center" vertical="center"/>
    </xf>
    <xf numFmtId="0" fontId="0" fillId="21" borderId="75" xfId="0" applyFill="1" applyBorder="1" applyAlignment="1">
      <alignment vertical="center"/>
    </xf>
    <xf numFmtId="0" fontId="0" fillId="21" borderId="70" xfId="0" applyFill="1" applyBorder="1" applyAlignment="1">
      <alignment horizontal="center" vertical="center"/>
    </xf>
    <xf numFmtId="0" fontId="0" fillId="21" borderId="15" xfId="0" applyFill="1" applyBorder="1" applyAlignment="1">
      <alignment horizontal="center" vertical="center"/>
    </xf>
    <xf numFmtId="0" fontId="0" fillId="21" borderId="85" xfId="0" applyFill="1" applyBorder="1" applyAlignment="1">
      <alignment vertical="center"/>
    </xf>
    <xf numFmtId="0" fontId="1" fillId="21" borderId="82" xfId="0" applyFont="1" applyFill="1" applyBorder="1" applyAlignment="1">
      <alignment vertical="center"/>
    </xf>
    <xf numFmtId="0" fontId="1" fillId="21" borderId="83" xfId="0" applyFont="1" applyFill="1" applyBorder="1" applyAlignment="1">
      <alignment vertical="center"/>
    </xf>
    <xf numFmtId="0" fontId="1" fillId="21" borderId="0" xfId="0" applyFont="1" applyFill="1" applyAlignment="1">
      <alignment horizontal="left"/>
    </xf>
    <xf numFmtId="6" fontId="1" fillId="21" borderId="0" xfId="0" applyNumberFormat="1" applyFont="1" applyFill="1" applyAlignment="1">
      <alignment horizontal="left"/>
    </xf>
    <xf numFmtId="6" fontId="1" fillId="21" borderId="4" xfId="0" applyNumberFormat="1" applyFont="1" applyFill="1" applyBorder="1" applyAlignment="1">
      <alignment horizontal="left"/>
    </xf>
    <xf numFmtId="168" fontId="0" fillId="21" borderId="0" xfId="0" applyNumberFormat="1" applyFill="1" applyAlignment="1">
      <alignment horizontal="left" wrapText="1"/>
    </xf>
    <xf numFmtId="164" fontId="1" fillId="21" borderId="0" xfId="0" applyNumberFormat="1" applyFont="1" applyFill="1" applyAlignment="1">
      <alignment horizontal="left"/>
    </xf>
    <xf numFmtId="44" fontId="0" fillId="21" borderId="0" xfId="2" applyFont="1" applyFill="1" applyAlignment="1">
      <alignment horizontal="left" wrapText="1"/>
    </xf>
    <xf numFmtId="167" fontId="1" fillId="21" borderId="0" xfId="0" applyNumberFormat="1" applyFont="1" applyFill="1" applyAlignment="1">
      <alignment horizontal="left"/>
    </xf>
    <xf numFmtId="0" fontId="52" fillId="21" borderId="0" xfId="0" applyFont="1" applyFill="1"/>
    <xf numFmtId="0" fontId="1" fillId="21" borderId="8" xfId="0" applyFont="1" applyFill="1" applyBorder="1"/>
    <xf numFmtId="0" fontId="1" fillId="21" borderId="5" xfId="0" applyFont="1" applyFill="1" applyBorder="1"/>
    <xf numFmtId="0" fontId="0" fillId="21" borderId="5" xfId="0" applyFill="1" applyBorder="1" applyAlignment="1">
      <alignment horizontal="left" vertical="top" wrapText="1"/>
    </xf>
    <xf numFmtId="0" fontId="0" fillId="21" borderId="9" xfId="0" applyFill="1" applyBorder="1" applyAlignment="1">
      <alignment horizontal="left" vertical="top" wrapText="1"/>
    </xf>
    <xf numFmtId="0" fontId="56" fillId="21" borderId="0" xfId="0" applyFont="1" applyFill="1" applyAlignment="1">
      <alignment horizontal="left"/>
    </xf>
    <xf numFmtId="0" fontId="0" fillId="21" borderId="8" xfId="0" applyFill="1" applyBorder="1"/>
    <xf numFmtId="0" fontId="0" fillId="21" borderId="9" xfId="0" applyFill="1" applyBorder="1"/>
    <xf numFmtId="0" fontId="11" fillId="21" borderId="0" xfId="0" applyFont="1" applyFill="1" applyAlignment="1">
      <alignment horizontal="left"/>
    </xf>
    <xf numFmtId="0" fontId="0" fillId="21" borderId="8" xfId="0" applyFill="1" applyBorder="1" applyAlignment="1">
      <alignment vertical="top" wrapText="1"/>
    </xf>
    <xf numFmtId="0" fontId="0" fillId="21" borderId="5" xfId="0" applyFill="1" applyBorder="1" applyAlignment="1">
      <alignment vertical="top" wrapText="1"/>
    </xf>
    <xf numFmtId="0" fontId="0" fillId="21" borderId="9" xfId="0" applyFill="1" applyBorder="1" applyAlignment="1">
      <alignment vertical="top" wrapText="1"/>
    </xf>
    <xf numFmtId="0" fontId="1" fillId="21" borderId="8" xfId="0" applyFont="1" applyFill="1" applyBorder="1" applyAlignment="1">
      <alignment vertical="center" wrapText="1"/>
    </xf>
    <xf numFmtId="0" fontId="1" fillId="21" borderId="9" xfId="0" applyFont="1" applyFill="1" applyBorder="1" applyAlignment="1">
      <alignment vertical="center" wrapText="1"/>
    </xf>
    <xf numFmtId="0" fontId="1" fillId="21" borderId="3" xfId="0" applyFont="1" applyFill="1" applyBorder="1" applyAlignment="1">
      <alignment vertical="center" wrapText="1"/>
    </xf>
    <xf numFmtId="0" fontId="0" fillId="21" borderId="3" xfId="0" applyFill="1" applyBorder="1" applyAlignment="1">
      <alignment horizontal="center"/>
    </xf>
    <xf numFmtId="3" fontId="0" fillId="21" borderId="8" xfId="0" applyNumberFormat="1" applyFill="1" applyBorder="1"/>
    <xf numFmtId="3" fontId="0" fillId="21" borderId="9" xfId="0" applyNumberFormat="1" applyFill="1" applyBorder="1"/>
    <xf numFmtId="0" fontId="1" fillId="21" borderId="46" xfId="0" applyFont="1" applyFill="1" applyBorder="1" applyAlignment="1">
      <alignment horizontal="center"/>
    </xf>
    <xf numFmtId="0" fontId="1" fillId="21" borderId="39" xfId="0" applyFont="1" applyFill="1" applyBorder="1" applyAlignment="1">
      <alignment horizontal="center"/>
    </xf>
    <xf numFmtId="0" fontId="1" fillId="21" borderId="45" xfId="0" applyFont="1" applyFill="1" applyBorder="1" applyAlignment="1">
      <alignment horizontal="center"/>
    </xf>
    <xf numFmtId="0" fontId="1" fillId="21" borderId="37" xfId="0" applyFont="1" applyFill="1" applyBorder="1" applyAlignment="1">
      <alignment horizontal="center"/>
    </xf>
    <xf numFmtId="0" fontId="0" fillId="21" borderId="0" xfId="0" applyFill="1" applyAlignment="1">
      <alignment horizontal="center" wrapText="1"/>
    </xf>
    <xf numFmtId="0" fontId="5" fillId="21" borderId="78" xfId="0" applyFont="1" applyFill="1" applyBorder="1"/>
    <xf numFmtId="0" fontId="5" fillId="21" borderId="87" xfId="0" applyFont="1" applyFill="1" applyBorder="1"/>
    <xf numFmtId="0" fontId="5" fillId="21" borderId="77" xfId="0" applyFont="1" applyFill="1" applyBorder="1"/>
    <xf numFmtId="0" fontId="5" fillId="21" borderId="77" xfId="0" applyFont="1" applyFill="1" applyBorder="1" applyAlignment="1">
      <alignment horizontal="center"/>
    </xf>
    <xf numFmtId="0" fontId="5" fillId="21" borderId="76" xfId="0" applyFont="1" applyFill="1" applyBorder="1" applyAlignment="1">
      <alignment horizontal="left"/>
    </xf>
    <xf numFmtId="44" fontId="0" fillId="21" borderId="77" xfId="0" applyNumberFormat="1" applyFill="1" applyBorder="1"/>
    <xf numFmtId="0" fontId="0" fillId="21" borderId="80" xfId="0" applyFill="1" applyBorder="1"/>
    <xf numFmtId="0" fontId="0" fillId="21" borderId="69" xfId="0" applyFill="1" applyBorder="1"/>
    <xf numFmtId="0" fontId="0" fillId="21" borderId="43" xfId="0" applyFill="1" applyBorder="1"/>
    <xf numFmtId="0" fontId="0" fillId="21" borderId="43" xfId="0" applyFill="1" applyBorder="1" applyAlignment="1">
      <alignment horizontal="center"/>
    </xf>
    <xf numFmtId="0" fontId="0" fillId="21" borderId="81" xfId="0" applyFill="1" applyBorder="1" applyAlignment="1">
      <alignment horizontal="left"/>
    </xf>
    <xf numFmtId="44" fontId="3" fillId="21" borderId="43" xfId="2" applyFont="1" applyFill="1" applyBorder="1"/>
    <xf numFmtId="0" fontId="0" fillId="21" borderId="23" xfId="0" applyFill="1" applyBorder="1"/>
    <xf numFmtId="0" fontId="0" fillId="21" borderId="3" xfId="0" applyFill="1" applyBorder="1"/>
    <xf numFmtId="0" fontId="0" fillId="21" borderId="29" xfId="0" applyFill="1" applyBorder="1" applyAlignment="1">
      <alignment horizontal="left"/>
    </xf>
    <xf numFmtId="44" fontId="0" fillId="21" borderId="3" xfId="2" applyFont="1" applyFill="1" applyBorder="1"/>
    <xf numFmtId="0" fontId="0" fillId="21" borderId="73" xfId="0" applyFill="1" applyBorder="1"/>
    <xf numFmtId="0" fontId="0" fillId="21" borderId="86" xfId="0" applyFill="1" applyBorder="1"/>
    <xf numFmtId="0" fontId="0" fillId="21" borderId="31" xfId="0" applyFill="1" applyBorder="1"/>
    <xf numFmtId="0" fontId="0" fillId="21" borderId="31" xfId="0" applyFill="1" applyBorder="1" applyAlignment="1">
      <alignment horizontal="center"/>
    </xf>
    <xf numFmtId="0" fontId="0" fillId="21" borderId="32" xfId="0" applyFill="1" applyBorder="1" applyAlignment="1">
      <alignment horizontal="left"/>
    </xf>
    <xf numFmtId="44" fontId="0" fillId="21" borderId="31" xfId="2" applyFont="1" applyFill="1" applyBorder="1"/>
    <xf numFmtId="44" fontId="1" fillId="21" borderId="1" xfId="0" applyNumberFormat="1" applyFont="1" applyFill="1" applyBorder="1"/>
    <xf numFmtId="0" fontId="37" fillId="21" borderId="3" xfId="0" applyFont="1" applyFill="1" applyBorder="1" applyAlignment="1">
      <alignment horizontal="left" vertical="center" wrapText="1"/>
    </xf>
    <xf numFmtId="43" fontId="37" fillId="21" borderId="3" xfId="1" applyFont="1" applyFill="1" applyBorder="1" applyAlignment="1">
      <alignment horizontal="left" vertical="center" wrapText="1"/>
    </xf>
    <xf numFmtId="173" fontId="37" fillId="21" borderId="3" xfId="2" applyNumberFormat="1" applyFont="1" applyFill="1" applyBorder="1" applyAlignment="1">
      <alignment horizontal="left" vertical="center" wrapText="1"/>
    </xf>
    <xf numFmtId="0" fontId="52" fillId="21" borderId="4" xfId="0" applyFont="1" applyFill="1" applyBorder="1" applyAlignment="1">
      <alignment horizontal="left" wrapText="1"/>
    </xf>
    <xf numFmtId="14" fontId="4" fillId="15" borderId="0" xfId="0" applyNumberFormat="1" applyFont="1" applyFill="1" applyAlignment="1">
      <alignment horizontal="left"/>
    </xf>
    <xf numFmtId="0" fontId="0" fillId="21" borderId="4" xfId="0" applyFill="1" applyBorder="1" applyAlignment="1">
      <alignment horizontal="left"/>
    </xf>
    <xf numFmtId="0" fontId="0" fillId="9" borderId="1" xfId="0" applyFill="1" applyBorder="1" applyAlignment="1">
      <alignment horizontal="center" vertical="center"/>
    </xf>
    <xf numFmtId="3" fontId="0" fillId="9" borderId="1" xfId="1" applyNumberFormat="1" applyFont="1" applyFill="1" applyBorder="1" applyAlignment="1">
      <alignment horizontal="center" vertical="center"/>
    </xf>
    <xf numFmtId="0" fontId="0" fillId="9" borderId="68" xfId="0" applyFill="1" applyBorder="1" applyAlignment="1">
      <alignment horizontal="center" vertical="center"/>
    </xf>
    <xf numFmtId="0" fontId="0" fillId="9" borderId="67" xfId="0" applyFill="1" applyBorder="1" applyAlignment="1">
      <alignment horizontal="center" vertical="center"/>
    </xf>
    <xf numFmtId="0" fontId="0" fillId="9" borderId="67" xfId="5" applyFont="1" applyFill="1" applyBorder="1" applyAlignment="1">
      <alignment horizontal="center" vertical="center"/>
    </xf>
    <xf numFmtId="1" fontId="0" fillId="21" borderId="88" xfId="2" applyNumberFormat="1" applyFont="1" applyFill="1" applyBorder="1" applyAlignment="1">
      <alignment horizontal="center" vertical="center" wrapText="1"/>
    </xf>
    <xf numFmtId="1" fontId="0" fillId="21" borderId="0" xfId="2" applyNumberFormat="1" applyFont="1" applyFill="1" applyAlignment="1">
      <alignment horizontal="center" vertical="center"/>
    </xf>
    <xf numFmtId="1" fontId="0" fillId="15" borderId="10" xfId="2" applyNumberFormat="1" applyFont="1" applyFill="1" applyBorder="1" applyAlignment="1">
      <alignment horizontal="center" vertical="center"/>
    </xf>
    <xf numFmtId="1" fontId="0" fillId="15" borderId="4" xfId="2" applyNumberFormat="1" applyFont="1" applyFill="1" applyBorder="1" applyAlignment="1">
      <alignment horizontal="center" vertical="center"/>
    </xf>
    <xf numFmtId="1" fontId="0" fillId="15" borderId="0" xfId="2" applyNumberFormat="1" applyFont="1" applyFill="1" applyBorder="1" applyAlignment="1">
      <alignment horizontal="center" vertical="center"/>
    </xf>
    <xf numFmtId="0" fontId="0" fillId="21" borderId="0" xfId="0" quotePrefix="1" applyFill="1"/>
    <xf numFmtId="1" fontId="0" fillId="21" borderId="0" xfId="0" applyNumberFormat="1" applyFill="1"/>
    <xf numFmtId="0" fontId="5" fillId="21" borderId="5" xfId="0" applyFont="1" applyFill="1" applyBorder="1"/>
    <xf numFmtId="0" fontId="5" fillId="21" borderId="10" xfId="0" applyFont="1" applyFill="1" applyBorder="1"/>
    <xf numFmtId="0" fontId="0" fillId="21" borderId="10" xfId="0" applyFill="1" applyBorder="1"/>
    <xf numFmtId="0" fontId="0" fillId="21" borderId="10" xfId="0" applyFill="1" applyBorder="1" applyAlignment="1">
      <alignment horizontal="center"/>
    </xf>
    <xf numFmtId="0" fontId="0" fillId="21" borderId="10" xfId="0" applyFill="1" applyBorder="1" applyAlignment="1">
      <alignment horizontal="left"/>
    </xf>
    <xf numFmtId="0" fontId="0" fillId="21" borderId="9" xfId="0" applyFill="1" applyBorder="1" applyAlignment="1">
      <alignment horizontal="center"/>
    </xf>
    <xf numFmtId="0" fontId="0" fillId="21" borderId="15" xfId="0" applyFill="1" applyBorder="1" applyAlignment="1">
      <alignment horizontal="center" wrapText="1"/>
    </xf>
    <xf numFmtId="0" fontId="0" fillId="21" borderId="3" xfId="0" applyFill="1" applyBorder="1" applyAlignment="1">
      <alignment horizontal="center" wrapText="1"/>
    </xf>
    <xf numFmtId="0" fontId="4" fillId="21" borderId="13" xfId="0" applyFont="1" applyFill="1" applyBorder="1" applyAlignment="1">
      <alignment wrapText="1"/>
    </xf>
    <xf numFmtId="0" fontId="4" fillId="21" borderId="12" xfId="0" applyFont="1" applyFill="1" applyBorder="1" applyAlignment="1">
      <alignment wrapText="1"/>
    </xf>
    <xf numFmtId="0" fontId="4" fillId="21" borderId="2" xfId="0" applyFont="1" applyFill="1" applyBorder="1" applyAlignment="1">
      <alignment wrapText="1"/>
    </xf>
    <xf numFmtId="0" fontId="0" fillId="21" borderId="1" xfId="0" applyFill="1" applyBorder="1" applyAlignment="1">
      <alignment horizontal="left"/>
    </xf>
    <xf numFmtId="44" fontId="0" fillId="21" borderId="1" xfId="2" applyFont="1" applyFill="1" applyBorder="1" applyAlignment="1">
      <alignment horizontal="left"/>
    </xf>
    <xf numFmtId="164" fontId="0" fillId="21" borderId="14" xfId="0" applyNumberFormat="1" applyFill="1" applyBorder="1" applyAlignment="1">
      <alignment horizontal="left"/>
    </xf>
    <xf numFmtId="0" fontId="0" fillId="21" borderId="1" xfId="0" applyFill="1" applyBorder="1" applyAlignment="1">
      <alignment horizontal="left" wrapText="1"/>
    </xf>
    <xf numFmtId="0" fontId="0" fillId="21" borderId="13" xfId="0" applyFill="1" applyBorder="1" applyAlignment="1">
      <alignment wrapText="1"/>
    </xf>
    <xf numFmtId="0" fontId="0" fillId="21" borderId="12" xfId="0" applyFill="1" applyBorder="1" applyAlignment="1">
      <alignment wrapText="1"/>
    </xf>
    <xf numFmtId="0" fontId="0" fillId="21" borderId="2" xfId="0" applyFill="1" applyBorder="1" applyAlignment="1">
      <alignment wrapText="1"/>
    </xf>
    <xf numFmtId="9" fontId="0" fillId="6" borderId="6" xfId="0" applyNumberFormat="1" applyFill="1" applyBorder="1" applyAlignment="1">
      <alignment horizontal="center"/>
    </xf>
    <xf numFmtId="0" fontId="0" fillId="6" borderId="2" xfId="0" applyFill="1" applyBorder="1" applyAlignment="1">
      <alignment horizontal="center"/>
    </xf>
    <xf numFmtId="1" fontId="0" fillId="6" borderId="6" xfId="0" applyNumberFormat="1" applyFill="1" applyBorder="1" applyAlignment="1">
      <alignment horizontal="center"/>
    </xf>
    <xf numFmtId="1" fontId="0" fillId="6" borderId="6" xfId="1" applyNumberFormat="1" applyFont="1" applyFill="1" applyBorder="1" applyAlignment="1">
      <alignment horizontal="center" vertical="center"/>
    </xf>
    <xf numFmtId="0" fontId="0" fillId="6" borderId="1" xfId="0" applyFill="1" applyBorder="1" applyAlignment="1">
      <alignment horizontal="center"/>
    </xf>
    <xf numFmtId="169" fontId="0" fillId="6" borderId="1" xfId="0" applyNumberFormat="1" applyFill="1" applyBorder="1" applyAlignment="1">
      <alignment horizontal="center"/>
    </xf>
    <xf numFmtId="1" fontId="0" fillId="6" borderId="3" xfId="2" applyNumberFormat="1" applyFont="1" applyFill="1" applyBorder="1" applyAlignment="1">
      <alignment horizontal="center" vertical="center"/>
    </xf>
    <xf numFmtId="1" fontId="3" fillId="6" borderId="3" xfId="2" applyNumberFormat="1" applyFont="1" applyFill="1" applyBorder="1" applyAlignment="1">
      <alignment horizontal="center" vertical="center"/>
    </xf>
    <xf numFmtId="0" fontId="1" fillId="3" borderId="3" xfId="0" applyFont="1" applyFill="1" applyBorder="1" applyAlignment="1">
      <alignment horizontal="center" vertical="center" wrapText="1"/>
    </xf>
    <xf numFmtId="1" fontId="0" fillId="3" borderId="3" xfId="1" applyNumberFormat="1" applyFont="1" applyFill="1" applyBorder="1" applyAlignment="1">
      <alignment horizontal="center" vertical="center"/>
    </xf>
    <xf numFmtId="173" fontId="0" fillId="3" borderId="3" xfId="2" applyNumberFormat="1" applyFont="1" applyFill="1" applyBorder="1" applyAlignment="1">
      <alignment horizontal="center" vertical="center"/>
    </xf>
    <xf numFmtId="1" fontId="0" fillId="21" borderId="10" xfId="2" applyNumberFormat="1" applyFont="1" applyFill="1" applyBorder="1" applyAlignment="1">
      <alignment horizontal="center" vertical="center"/>
    </xf>
    <xf numFmtId="1" fontId="0" fillId="21" borderId="10" xfId="2" applyNumberFormat="1" applyFont="1" applyFill="1" applyBorder="1"/>
    <xf numFmtId="173" fontId="0" fillId="21" borderId="10" xfId="2" applyNumberFormat="1" applyFont="1" applyFill="1" applyBorder="1"/>
    <xf numFmtId="173" fontId="0" fillId="21" borderId="70" xfId="2" applyNumberFormat="1" applyFont="1" applyFill="1" applyBorder="1"/>
    <xf numFmtId="1" fontId="0" fillId="21" borderId="4" xfId="2" applyNumberFormat="1" applyFont="1" applyFill="1" applyBorder="1" applyAlignment="1">
      <alignment horizontal="center" vertical="center"/>
    </xf>
    <xf numFmtId="1" fontId="0" fillId="21" borderId="4" xfId="2" applyNumberFormat="1" applyFont="1" applyFill="1" applyBorder="1"/>
    <xf numFmtId="173" fontId="0" fillId="21" borderId="4" xfId="2" applyNumberFormat="1" applyFont="1" applyFill="1" applyBorder="1"/>
    <xf numFmtId="173" fontId="0" fillId="21" borderId="69" xfId="2" applyNumberFormat="1" applyFont="1" applyFill="1" applyBorder="1"/>
    <xf numFmtId="1" fontId="0" fillId="21" borderId="5" xfId="2" applyNumberFormat="1" applyFont="1" applyFill="1" applyBorder="1" applyAlignment="1">
      <alignment horizontal="center" vertical="center"/>
    </xf>
    <xf numFmtId="1" fontId="0" fillId="21" borderId="5" xfId="2" applyNumberFormat="1" applyFont="1" applyFill="1" applyBorder="1"/>
    <xf numFmtId="173" fontId="0" fillId="21" borderId="5" xfId="2" applyNumberFormat="1" applyFont="1" applyFill="1" applyBorder="1"/>
    <xf numFmtId="173" fontId="0" fillId="21" borderId="9" xfId="2" applyNumberFormat="1" applyFont="1" applyFill="1" applyBorder="1"/>
    <xf numFmtId="1" fontId="0" fillId="21" borderId="0" xfId="2" applyNumberFormat="1" applyFont="1" applyFill="1" applyBorder="1" applyAlignment="1">
      <alignment horizontal="center" vertical="center"/>
    </xf>
    <xf numFmtId="1" fontId="0" fillId="21" borderId="0" xfId="2" applyNumberFormat="1" applyFont="1" applyFill="1" applyBorder="1"/>
    <xf numFmtId="173" fontId="0" fillId="21" borderId="0" xfId="2" applyNumberFormat="1" applyFont="1" applyFill="1" applyBorder="1"/>
    <xf numFmtId="173" fontId="0" fillId="21" borderId="47" xfId="2" applyNumberFormat="1" applyFont="1" applyFill="1" applyBorder="1"/>
    <xf numFmtId="0" fontId="22" fillId="21" borderId="0" xfId="0" applyFont="1" applyFill="1"/>
    <xf numFmtId="0" fontId="59" fillId="21" borderId="0" xfId="0" applyFont="1" applyFill="1"/>
    <xf numFmtId="0" fontId="1" fillId="15" borderId="0" xfId="0" applyFont="1" applyFill="1"/>
    <xf numFmtId="0" fontId="0" fillId="15" borderId="0" xfId="0" applyFill="1" applyAlignment="1">
      <alignment horizontal="center"/>
    </xf>
    <xf numFmtId="0" fontId="0" fillId="15" borderId="0" xfId="0" applyFill="1" applyAlignment="1">
      <alignment horizontal="left"/>
    </xf>
    <xf numFmtId="0" fontId="0" fillId="15" borderId="0" xfId="0" applyFill="1" applyAlignment="1">
      <alignment horizontal="left" wrapText="1"/>
    </xf>
    <xf numFmtId="0" fontId="5" fillId="15" borderId="0" xfId="0" applyFont="1" applyFill="1"/>
    <xf numFmtId="9" fontId="0" fillId="15" borderId="0" xfId="0" applyNumberFormat="1" applyFill="1" applyAlignment="1">
      <alignment horizontal="center"/>
    </xf>
    <xf numFmtId="9" fontId="0" fillId="15" borderId="0" xfId="0" applyNumberFormat="1" applyFill="1"/>
    <xf numFmtId="0" fontId="66" fillId="21" borderId="0" xfId="0" applyFont="1" applyFill="1"/>
    <xf numFmtId="0" fontId="65" fillId="21" borderId="0" xfId="0" applyFont="1" applyFill="1"/>
    <xf numFmtId="9" fontId="0" fillId="21" borderId="0" xfId="0" applyNumberFormat="1" applyFill="1" applyAlignment="1">
      <alignment horizontal="center"/>
    </xf>
    <xf numFmtId="0" fontId="5" fillId="21" borderId="0" xfId="0" applyFont="1" applyFill="1"/>
    <xf numFmtId="0" fontId="4" fillId="21" borderId="0" xfId="0" applyFont="1" applyFill="1"/>
    <xf numFmtId="9" fontId="0" fillId="21" borderId="0" xfId="0" applyNumberFormat="1" applyFill="1"/>
    <xf numFmtId="0" fontId="0" fillId="21" borderId="1" xfId="0" applyFill="1" applyBorder="1" applyAlignment="1">
      <alignment horizontal="center"/>
    </xf>
    <xf numFmtId="0" fontId="64" fillId="21" borderId="0" xfId="0" applyFont="1" applyFill="1"/>
    <xf numFmtId="0" fontId="60" fillId="21" borderId="0" xfId="0" applyFont="1" applyFill="1"/>
    <xf numFmtId="0" fontId="63" fillId="21" borderId="0" xfId="0" applyFont="1" applyFill="1"/>
    <xf numFmtId="0" fontId="62" fillId="21" borderId="0" xfId="0" applyFont="1" applyFill="1"/>
    <xf numFmtId="0" fontId="61" fillId="21" borderId="0" xfId="0" applyFont="1" applyFill="1"/>
    <xf numFmtId="9" fontId="0" fillId="21" borderId="16" xfId="0" applyNumberFormat="1" applyFill="1" applyBorder="1" applyAlignment="1">
      <alignment horizontal="center"/>
    </xf>
    <xf numFmtId="0" fontId="0" fillId="21" borderId="16" xfId="0" applyFill="1" applyBorder="1" applyAlignment="1">
      <alignment horizontal="center"/>
    </xf>
    <xf numFmtId="0" fontId="22" fillId="34" borderId="3" xfId="0" applyFont="1" applyFill="1" applyBorder="1" applyAlignment="1">
      <alignment horizontal="left" vertical="center" wrapText="1"/>
    </xf>
    <xf numFmtId="0" fontId="22" fillId="34" borderId="105" xfId="0" applyFont="1" applyFill="1" applyBorder="1" applyAlignment="1">
      <alignment horizontal="center" vertical="center"/>
    </xf>
    <xf numFmtId="0" fontId="22" fillId="34" borderId="106" xfId="0" applyFont="1" applyFill="1" applyBorder="1" applyAlignment="1">
      <alignment horizontal="center" vertical="center"/>
    </xf>
    <xf numFmtId="0" fontId="22" fillId="34" borderId="106" xfId="0" applyFont="1" applyFill="1" applyBorder="1" applyAlignment="1">
      <alignment horizontal="center" vertical="center" wrapText="1"/>
    </xf>
    <xf numFmtId="0" fontId="22" fillId="34" borderId="107" xfId="0" applyFont="1" applyFill="1" applyBorder="1" applyAlignment="1">
      <alignment horizontal="center" vertical="center" wrapText="1"/>
    </xf>
    <xf numFmtId="9" fontId="0" fillId="6" borderId="1" xfId="0" applyNumberFormat="1" applyFill="1" applyBorder="1" applyAlignment="1">
      <alignment horizontal="center" vertical="center"/>
    </xf>
    <xf numFmtId="6" fontId="4" fillId="3" borderId="1" xfId="0" applyNumberFormat="1" applyFont="1" applyFill="1" applyBorder="1" applyAlignment="1">
      <alignment horizontal="center" vertical="center"/>
    </xf>
    <xf numFmtId="0" fontId="0" fillId="6" borderId="1" xfId="2" applyNumberFormat="1" applyFont="1" applyFill="1" applyBorder="1" applyAlignment="1">
      <alignment horizontal="left" vertical="center" wrapText="1"/>
    </xf>
    <xf numFmtId="0" fontId="0" fillId="6" borderId="1" xfId="0" applyFill="1" applyBorder="1" applyAlignment="1">
      <alignment horizontal="left" vertical="center" wrapText="1"/>
    </xf>
    <xf numFmtId="9" fontId="0" fillId="21" borderId="0" xfId="0" applyNumberFormat="1" applyFill="1" applyAlignment="1">
      <alignment horizontal="center" vertical="center"/>
    </xf>
    <xf numFmtId="0" fontId="0" fillId="21" borderId="0" xfId="0" applyFill="1" applyAlignment="1">
      <alignment horizontal="left" vertical="center" wrapText="1"/>
    </xf>
    <xf numFmtId="9" fontId="0" fillId="4" borderId="1" xfId="0" applyNumberFormat="1" applyFill="1" applyBorder="1" applyAlignment="1">
      <alignment horizontal="center" vertical="center"/>
    </xf>
    <xf numFmtId="6" fontId="4" fillId="4" borderId="41" xfId="0" applyNumberFormat="1" applyFont="1" applyFill="1" applyBorder="1" applyAlignment="1">
      <alignment horizontal="center" vertical="center"/>
    </xf>
    <xf numFmtId="0" fontId="0" fillId="4" borderId="1" xfId="0" applyFill="1" applyBorder="1" applyAlignment="1">
      <alignment horizontal="left" vertical="center" wrapText="1"/>
    </xf>
    <xf numFmtId="9" fontId="0" fillId="15" borderId="0" xfId="0" applyNumberFormat="1" applyFill="1" applyAlignment="1">
      <alignment horizontal="center" vertical="center"/>
    </xf>
    <xf numFmtId="0" fontId="0" fillId="15" borderId="0" xfId="0" applyFill="1" applyAlignment="1">
      <alignment horizontal="left" vertical="center" wrapText="1"/>
    </xf>
    <xf numFmtId="9" fontId="0" fillId="15" borderId="0" xfId="0" applyNumberFormat="1" applyFill="1" applyAlignment="1">
      <alignment vertical="center"/>
    </xf>
    <xf numFmtId="0" fontId="0" fillId="15" borderId="0" xfId="0" applyFill="1" applyAlignment="1">
      <alignment vertical="center"/>
    </xf>
    <xf numFmtId="9" fontId="0" fillId="21" borderId="0" xfId="0" applyNumberFormat="1" applyFill="1" applyAlignment="1">
      <alignment vertical="center"/>
    </xf>
    <xf numFmtId="0" fontId="4" fillId="4" borderId="7" xfId="0" applyFont="1" applyFill="1" applyBorder="1" applyAlignment="1">
      <alignment horizontal="center" vertical="center"/>
    </xf>
    <xf numFmtId="9" fontId="0" fillId="5" borderId="0" xfId="0" applyNumberFormat="1" applyFill="1" applyAlignment="1">
      <alignment vertical="center"/>
    </xf>
    <xf numFmtId="0" fontId="0" fillId="5" borderId="0" xfId="0" applyFill="1" applyAlignment="1">
      <alignment vertical="center"/>
    </xf>
    <xf numFmtId="0" fontId="0" fillId="5" borderId="0" xfId="0" applyFill="1" applyAlignment="1">
      <alignment horizontal="left" vertical="center" wrapText="1"/>
    </xf>
    <xf numFmtId="9" fontId="0" fillId="0" borderId="0" xfId="0" applyNumberFormat="1" applyAlignment="1">
      <alignment vertical="center"/>
    </xf>
    <xf numFmtId="9" fontId="0" fillId="21" borderId="16" xfId="0" applyNumberFormat="1" applyFill="1" applyBorder="1" applyAlignment="1">
      <alignment horizontal="center" vertical="center"/>
    </xf>
    <xf numFmtId="0" fontId="4" fillId="21" borderId="0" xfId="0" applyFont="1" applyFill="1" applyAlignment="1">
      <alignment horizontal="center" vertical="center"/>
    </xf>
    <xf numFmtId="0" fontId="0" fillId="21" borderId="16" xfId="0" applyFill="1" applyBorder="1" applyAlignment="1">
      <alignment horizontal="left" vertical="center" wrapText="1"/>
    </xf>
    <xf numFmtId="0" fontId="71" fillId="21" borderId="0" xfId="0" applyFont="1" applyFill="1"/>
    <xf numFmtId="0" fontId="70" fillId="21" borderId="0" xfId="0" applyFont="1" applyFill="1" applyAlignment="1">
      <alignment horizontal="left" vertical="center"/>
    </xf>
    <xf numFmtId="0" fontId="75" fillId="21" borderId="0" xfId="0" applyFont="1" applyFill="1"/>
    <xf numFmtId="0" fontId="76" fillId="21" borderId="0" xfId="0" applyFont="1" applyFill="1"/>
    <xf numFmtId="0" fontId="38" fillId="21" borderId="0" xfId="0" applyFont="1" applyFill="1"/>
    <xf numFmtId="49" fontId="38" fillId="21" borderId="0" xfId="0" applyNumberFormat="1" applyFont="1" applyFill="1"/>
    <xf numFmtId="0" fontId="77" fillId="21" borderId="0" xfId="0" applyFont="1" applyFill="1"/>
    <xf numFmtId="0" fontId="74" fillId="21" borderId="0" xfId="0" applyFont="1" applyFill="1"/>
    <xf numFmtId="0" fontId="38" fillId="3" borderId="35" xfId="0" applyFont="1" applyFill="1" applyBorder="1"/>
    <xf numFmtId="0" fontId="0" fillId="3" borderId="11" xfId="0" applyFill="1" applyBorder="1"/>
    <xf numFmtId="0" fontId="0" fillId="3" borderId="36" xfId="0" applyFill="1" applyBorder="1"/>
    <xf numFmtId="0" fontId="78" fillId="3" borderId="33" xfId="5" applyFont="1" applyFill="1" applyBorder="1"/>
    <xf numFmtId="0" fontId="75" fillId="3" borderId="0" xfId="0" applyFont="1" applyFill="1"/>
    <xf numFmtId="0" fontId="75" fillId="3" borderId="108" xfId="0" applyFont="1" applyFill="1" applyBorder="1"/>
    <xf numFmtId="0" fontId="75" fillId="3" borderId="109" xfId="0" applyFont="1" applyFill="1" applyBorder="1"/>
    <xf numFmtId="0" fontId="75" fillId="3" borderId="16" xfId="0" applyFont="1" applyFill="1" applyBorder="1"/>
    <xf numFmtId="0" fontId="75" fillId="3" borderId="110" xfId="0" applyFont="1" applyFill="1" applyBorder="1"/>
    <xf numFmtId="0" fontId="1" fillId="9" borderId="1" xfId="0" applyFont="1" applyFill="1" applyBorder="1" applyAlignment="1">
      <alignment horizontal="center" vertical="center"/>
    </xf>
    <xf numFmtId="0" fontId="0" fillId="21" borderId="0" xfId="0" applyFill="1" applyAlignment="1">
      <alignment horizontal="left" wrapText="1"/>
    </xf>
    <xf numFmtId="0" fontId="0" fillId="21" borderId="0" xfId="0" applyFill="1" applyAlignment="1">
      <alignment wrapText="1"/>
    </xf>
    <xf numFmtId="0" fontId="0" fillId="21" borderId="0" xfId="0" applyFill="1" applyAlignment="1">
      <alignment horizontal="left"/>
    </xf>
    <xf numFmtId="1" fontId="0" fillId="21" borderId="15" xfId="2" applyNumberFormat="1" applyFont="1" applyFill="1" applyBorder="1" applyAlignment="1">
      <alignment horizontal="center" vertical="center" wrapText="1"/>
    </xf>
    <xf numFmtId="1" fontId="0" fillId="21" borderId="34" xfId="2" applyNumberFormat="1" applyFont="1" applyFill="1" applyBorder="1" applyAlignment="1">
      <alignment horizontal="center" vertical="center" wrapText="1"/>
    </xf>
    <xf numFmtId="1" fontId="0" fillId="21" borderId="43" xfId="2" applyNumberFormat="1" applyFont="1" applyFill="1" applyBorder="1" applyAlignment="1">
      <alignment horizontal="center" vertical="center" wrapText="1"/>
    </xf>
    <xf numFmtId="1" fontId="0" fillId="21" borderId="15" xfId="1" applyNumberFormat="1" applyFont="1" applyFill="1" applyBorder="1" applyAlignment="1">
      <alignment horizontal="left" vertical="center" wrapText="1"/>
    </xf>
    <xf numFmtId="1" fontId="0" fillId="21" borderId="34" xfId="1" applyNumberFormat="1" applyFont="1" applyFill="1" applyBorder="1" applyAlignment="1">
      <alignment horizontal="left" vertical="center" wrapText="1"/>
    </xf>
    <xf numFmtId="1" fontId="0" fillId="21" borderId="43" xfId="1" applyNumberFormat="1" applyFont="1" applyFill="1" applyBorder="1" applyAlignment="1">
      <alignment horizontal="left" vertical="center" wrapText="1"/>
    </xf>
    <xf numFmtId="173" fontId="0" fillId="21" borderId="88" xfId="2" applyNumberFormat="1" applyFont="1" applyFill="1" applyBorder="1" applyAlignment="1">
      <alignment horizontal="center" vertical="center" wrapText="1"/>
    </xf>
    <xf numFmtId="173" fontId="0" fillId="21" borderId="10" xfId="2" applyNumberFormat="1" applyFont="1" applyFill="1" applyBorder="1" applyAlignment="1">
      <alignment horizontal="center" vertical="center" wrapText="1"/>
    </xf>
    <xf numFmtId="173" fontId="0" fillId="21" borderId="70" xfId="2" applyNumberFormat="1" applyFont="1" applyFill="1" applyBorder="1" applyAlignment="1">
      <alignment horizontal="center" vertical="center" wrapText="1"/>
    </xf>
    <xf numFmtId="173" fontId="0" fillId="21" borderId="48" xfId="2" applyNumberFormat="1" applyFont="1" applyFill="1" applyBorder="1" applyAlignment="1">
      <alignment horizontal="center" vertical="center" wrapText="1"/>
    </xf>
    <xf numFmtId="173" fontId="0" fillId="21" borderId="0" xfId="2" applyNumberFormat="1" applyFont="1" applyFill="1" applyBorder="1" applyAlignment="1">
      <alignment horizontal="center" vertical="center" wrapText="1"/>
    </xf>
    <xf numFmtId="173" fontId="0" fillId="21" borderId="47" xfId="2" applyNumberFormat="1" applyFont="1" applyFill="1" applyBorder="1" applyAlignment="1">
      <alignment horizontal="center" vertical="center" wrapText="1"/>
    </xf>
    <xf numFmtId="173" fontId="0" fillId="21" borderId="89" xfId="2" applyNumberFormat="1" applyFont="1" applyFill="1" applyBorder="1" applyAlignment="1">
      <alignment horizontal="center" vertical="center" wrapText="1"/>
    </xf>
    <xf numFmtId="173" fontId="0" fillId="21" borderId="4" xfId="2" applyNumberFormat="1" applyFont="1" applyFill="1" applyBorder="1" applyAlignment="1">
      <alignment horizontal="center" vertical="center" wrapText="1"/>
    </xf>
    <xf numFmtId="173" fontId="0" fillId="21" borderId="69" xfId="2" applyNumberFormat="1" applyFont="1" applyFill="1" applyBorder="1" applyAlignment="1">
      <alignment horizontal="center" vertical="center" wrapText="1"/>
    </xf>
    <xf numFmtId="0" fontId="22" fillId="34" borderId="106" xfId="0" applyFont="1" applyFill="1" applyBorder="1" applyAlignment="1">
      <alignment horizontal="center" vertical="center"/>
    </xf>
    <xf numFmtId="0" fontId="22" fillId="34" borderId="106" xfId="0" applyFont="1" applyFill="1" applyBorder="1" applyAlignment="1">
      <alignment horizontal="center" vertical="center" wrapText="1"/>
    </xf>
    <xf numFmtId="0" fontId="22" fillId="14" borderId="8" xfId="0" applyFont="1" applyFill="1" applyBorder="1" applyAlignment="1">
      <alignment horizontal="center" vertical="center" wrapText="1"/>
    </xf>
    <xf numFmtId="0" fontId="22" fillId="14" borderId="5" xfId="0" applyFont="1" applyFill="1" applyBorder="1" applyAlignment="1">
      <alignment horizontal="center" vertical="center" wrapText="1"/>
    </xf>
    <xf numFmtId="0" fontId="22" fillId="14" borderId="9" xfId="0" applyFont="1" applyFill="1" applyBorder="1" applyAlignment="1">
      <alignment horizontal="center" vertical="center" wrapText="1"/>
    </xf>
    <xf numFmtId="0" fontId="1" fillId="21" borderId="35" xfId="0" applyFont="1" applyFill="1" applyBorder="1" applyAlignment="1">
      <alignment horizontal="center"/>
    </xf>
    <xf numFmtId="0" fontId="1" fillId="21" borderId="11" xfId="0" applyFont="1" applyFill="1" applyBorder="1" applyAlignment="1">
      <alignment horizontal="center"/>
    </xf>
    <xf numFmtId="0" fontId="1" fillId="21" borderId="36" xfId="0" applyFont="1" applyFill="1" applyBorder="1" applyAlignment="1">
      <alignment horizontal="center"/>
    </xf>
    <xf numFmtId="0" fontId="0" fillId="21" borderId="13" xfId="0" applyFill="1" applyBorder="1" applyAlignment="1">
      <alignment horizontal="center"/>
    </xf>
    <xf numFmtId="0" fontId="0" fillId="21" borderId="39" xfId="0" applyFill="1" applyBorder="1" applyAlignment="1">
      <alignment horizontal="center"/>
    </xf>
    <xf numFmtId="0" fontId="11" fillId="21" borderId="0" xfId="0" applyFont="1" applyFill="1" applyAlignment="1">
      <alignment horizontal="left" wrapText="1"/>
    </xf>
    <xf numFmtId="0" fontId="68" fillId="6" borderId="95" xfId="0" applyFont="1" applyFill="1" applyBorder="1" applyAlignment="1">
      <alignment horizontal="left" vertical="center" wrapText="1"/>
    </xf>
    <xf numFmtId="0" fontId="68" fillId="6" borderId="99" xfId="0" applyFont="1" applyFill="1" applyBorder="1" applyAlignment="1">
      <alignment horizontal="left" vertical="center" wrapText="1"/>
    </xf>
    <xf numFmtId="0" fontId="68" fillId="6" borderId="103" xfId="0" applyFont="1" applyFill="1" applyBorder="1" applyAlignment="1">
      <alignment horizontal="left" vertical="center" wrapText="1"/>
    </xf>
    <xf numFmtId="0" fontId="0" fillId="0" borderId="94" xfId="0" applyBorder="1" applyAlignment="1">
      <alignment horizontal="center" vertical="center" wrapText="1"/>
    </xf>
    <xf numFmtId="0" fontId="0" fillId="0" borderId="98" xfId="0" applyBorder="1" applyAlignment="1">
      <alignment horizontal="center" vertical="center" wrapText="1"/>
    </xf>
    <xf numFmtId="0" fontId="0" fillId="0" borderId="102" xfId="0" applyBorder="1" applyAlignment="1">
      <alignment horizontal="center" vertical="center" wrapText="1"/>
    </xf>
    <xf numFmtId="0" fontId="0" fillId="0" borderId="95" xfId="0" applyBorder="1" applyAlignment="1">
      <alignment horizontal="center" vertical="center" wrapText="1"/>
    </xf>
    <xf numFmtId="0" fontId="0" fillId="0" borderId="99" xfId="0" applyBorder="1" applyAlignment="1">
      <alignment horizontal="center" vertical="center" wrapText="1"/>
    </xf>
    <xf numFmtId="0" fontId="0" fillId="0" borderId="103" xfId="0" applyBorder="1" applyAlignment="1">
      <alignment horizontal="center" vertical="center" wrapText="1"/>
    </xf>
    <xf numFmtId="0" fontId="0" fillId="15" borderId="95" xfId="0" applyFill="1" applyBorder="1" applyAlignment="1">
      <alignment horizontal="center" vertical="center" wrapText="1"/>
    </xf>
    <xf numFmtId="0" fontId="0" fillId="15" borderId="99" xfId="0" applyFill="1" applyBorder="1" applyAlignment="1">
      <alignment horizontal="center" vertical="center" wrapText="1"/>
    </xf>
    <xf numFmtId="0" fontId="0" fillId="15" borderId="103" xfId="0" applyFill="1" applyBorder="1" applyAlignment="1">
      <alignment horizontal="center" vertical="center" wrapText="1"/>
    </xf>
    <xf numFmtId="0" fontId="0" fillId="0" borderId="96" xfId="0" applyBorder="1" applyAlignment="1">
      <alignment horizontal="center" vertical="center"/>
    </xf>
    <xf numFmtId="0" fontId="0" fillId="0" borderId="100" xfId="0" applyBorder="1" applyAlignment="1">
      <alignment horizontal="center" vertical="center"/>
    </xf>
    <xf numFmtId="0" fontId="0" fillId="0" borderId="104" xfId="0" applyBorder="1" applyAlignment="1">
      <alignment horizontal="center" vertical="center"/>
    </xf>
    <xf numFmtId="2" fontId="0" fillId="0" borderId="94" xfId="1" applyNumberFormat="1" applyFont="1" applyBorder="1" applyAlignment="1">
      <alignment horizontal="center" vertical="center"/>
    </xf>
    <xf numFmtId="2" fontId="0" fillId="0" borderId="98" xfId="1" applyNumberFormat="1" applyFont="1" applyBorder="1" applyAlignment="1">
      <alignment horizontal="center" vertical="center"/>
    </xf>
    <xf numFmtId="2" fontId="0" fillId="0" borderId="102" xfId="1" applyNumberFormat="1" applyFont="1" applyBorder="1" applyAlignment="1">
      <alignment horizontal="center" vertical="center"/>
    </xf>
    <xf numFmtId="9" fontId="0" fillId="0" borderId="94" xfId="6" applyFont="1" applyBorder="1" applyAlignment="1">
      <alignment horizontal="center" vertical="center"/>
    </xf>
    <xf numFmtId="9" fontId="0" fillId="0" borderId="98" xfId="6" applyFont="1" applyBorder="1" applyAlignment="1">
      <alignment horizontal="center" vertical="center"/>
    </xf>
    <xf numFmtId="9" fontId="0" fillId="0" borderId="102" xfId="6" applyFont="1" applyBorder="1" applyAlignment="1">
      <alignment horizontal="center" vertical="center"/>
    </xf>
    <xf numFmtId="9" fontId="0" fillId="0" borderId="95" xfId="6" applyFont="1" applyBorder="1" applyAlignment="1">
      <alignment horizontal="center" vertical="center"/>
    </xf>
    <xf numFmtId="9" fontId="0" fillId="0" borderId="99" xfId="6" applyFont="1" applyBorder="1" applyAlignment="1">
      <alignment horizontal="center" vertical="center"/>
    </xf>
    <xf numFmtId="9" fontId="0" fillId="0" borderId="103" xfId="6" applyFont="1" applyBorder="1" applyAlignment="1">
      <alignment horizontal="center" vertical="center"/>
    </xf>
    <xf numFmtId="0" fontId="0" fillId="0" borderId="96" xfId="0" applyBorder="1" applyAlignment="1">
      <alignment horizontal="center" vertical="center" wrapText="1"/>
    </xf>
    <xf numFmtId="0" fontId="0" fillId="0" borderId="100" xfId="0" applyBorder="1" applyAlignment="1">
      <alignment horizontal="center" vertical="center" wrapText="1"/>
    </xf>
    <xf numFmtId="0" fontId="0" fillId="0" borderId="104" xfId="0" applyBorder="1" applyAlignment="1">
      <alignment horizontal="center" vertical="center" wrapText="1"/>
    </xf>
    <xf numFmtId="169" fontId="74" fillId="9" borderId="0" xfId="0" applyNumberFormat="1" applyFont="1" applyFill="1" applyAlignment="1">
      <alignment horizontal="left" vertical="top" wrapText="1"/>
    </xf>
    <xf numFmtId="0" fontId="0" fillId="21" borderId="88" xfId="0" applyFill="1" applyBorder="1" applyAlignment="1">
      <alignment horizontal="center" wrapText="1"/>
    </xf>
    <xf numFmtId="0" fontId="0" fillId="21" borderId="10" xfId="0" applyFill="1" applyBorder="1" applyAlignment="1">
      <alignment horizontal="center" wrapText="1"/>
    </xf>
    <xf numFmtId="0" fontId="0" fillId="21" borderId="70" xfId="0" applyFill="1" applyBorder="1" applyAlignment="1">
      <alignment horizontal="center" wrapText="1"/>
    </xf>
    <xf numFmtId="0" fontId="0" fillId="21" borderId="89" xfId="0" applyFill="1" applyBorder="1" applyAlignment="1">
      <alignment horizontal="center" wrapText="1"/>
    </xf>
    <xf numFmtId="0" fontId="0" fillId="21" borderId="4" xfId="0" applyFill="1" applyBorder="1" applyAlignment="1">
      <alignment horizontal="center" wrapText="1"/>
    </xf>
    <xf numFmtId="0" fontId="0" fillId="21" borderId="69" xfId="0" applyFill="1" applyBorder="1" applyAlignment="1">
      <alignment horizontal="center" wrapText="1"/>
    </xf>
    <xf numFmtId="0" fontId="23" fillId="33" borderId="15" xfId="0" applyFont="1" applyFill="1" applyBorder="1" applyAlignment="1">
      <alignment horizontal="center" wrapText="1"/>
    </xf>
    <xf numFmtId="0" fontId="23" fillId="33" borderId="43" xfId="0" applyFont="1" applyFill="1" applyBorder="1" applyAlignment="1">
      <alignment horizontal="center" wrapText="1"/>
    </xf>
    <xf numFmtId="0" fontId="11" fillId="0" borderId="48" xfId="0" applyFont="1" applyBorder="1" applyAlignment="1">
      <alignment horizontal="left" wrapText="1"/>
    </xf>
    <xf numFmtId="0" fontId="0" fillId="0" borderId="15" xfId="0" applyBorder="1" applyAlignment="1">
      <alignment horizontal="center" vertical="center" wrapText="1"/>
    </xf>
    <xf numFmtId="0" fontId="0" fillId="0" borderId="34" xfId="0" applyBorder="1" applyAlignment="1">
      <alignment horizontal="center" vertical="center" wrapText="1"/>
    </xf>
    <xf numFmtId="0" fontId="0" fillId="0" borderId="43" xfId="0" applyBorder="1" applyAlignment="1">
      <alignment horizontal="center" vertical="center" wrapText="1"/>
    </xf>
    <xf numFmtId="0" fontId="4" fillId="0" borderId="3" xfId="0" applyFont="1" applyBorder="1" applyAlignment="1">
      <alignment horizontal="center" wrapText="1"/>
    </xf>
    <xf numFmtId="0" fontId="1" fillId="0" borderId="0" xfId="0" applyFont="1" applyAlignment="1">
      <alignment horizontal="center"/>
    </xf>
    <xf numFmtId="0" fontId="4" fillId="0" borderId="8" xfId="0" applyFont="1" applyBorder="1" applyAlignment="1">
      <alignment horizontal="center" wrapText="1"/>
    </xf>
    <xf numFmtId="0" fontId="4" fillId="0" borderId="5" xfId="0" applyFont="1" applyBorder="1" applyAlignment="1">
      <alignment horizontal="center" wrapText="1"/>
    </xf>
    <xf numFmtId="0" fontId="4" fillId="0" borderId="9" xfId="0" applyFont="1" applyBorder="1" applyAlignment="1">
      <alignment horizontal="center" wrapText="1"/>
    </xf>
    <xf numFmtId="0" fontId="21" fillId="0" borderId="3" xfId="0" applyFont="1" applyBorder="1" applyAlignment="1">
      <alignment horizontal="center" wrapText="1"/>
    </xf>
    <xf numFmtId="0" fontId="52" fillId="0" borderId="3" xfId="0" applyFont="1" applyBorder="1" applyAlignment="1">
      <alignment horizontal="center" wrapText="1"/>
    </xf>
    <xf numFmtId="0" fontId="11" fillId="0" borderId="0" xfId="0" applyFont="1" applyAlignment="1">
      <alignment wrapText="1"/>
    </xf>
    <xf numFmtId="0" fontId="11" fillId="0" borderId="0" xfId="0" applyFont="1"/>
    <xf numFmtId="0" fontId="0" fillId="24" borderId="13" xfId="0" applyFill="1" applyBorder="1" applyAlignment="1">
      <alignment horizontal="center" vertical="center" wrapText="1"/>
    </xf>
    <xf numFmtId="0" fontId="0" fillId="0" borderId="12" xfId="0" applyBorder="1" applyAlignment="1">
      <alignment horizontal="center" vertical="center" wrapText="1"/>
    </xf>
    <xf numFmtId="0" fontId="0" fillId="0" borderId="2" xfId="0" applyBorder="1" applyAlignment="1">
      <alignment horizontal="center" vertical="center" wrapText="1"/>
    </xf>
    <xf numFmtId="0" fontId="30" fillId="6" borderId="33" xfId="0" applyFont="1" applyFill="1" applyBorder="1" applyAlignment="1">
      <alignment horizontal="center" vertical="center" wrapText="1"/>
    </xf>
    <xf numFmtId="0" fontId="0" fillId="0" borderId="0" xfId="0" applyAlignment="1">
      <alignment horizontal="center" vertical="center" wrapText="1"/>
    </xf>
    <xf numFmtId="0" fontId="0" fillId="25" borderId="34" xfId="0" applyFill="1" applyBorder="1" applyAlignment="1">
      <alignment horizontal="center" vertical="center" wrapText="1"/>
    </xf>
    <xf numFmtId="0" fontId="4" fillId="25" borderId="43" xfId="0" applyFont="1" applyFill="1" applyBorder="1" applyAlignment="1">
      <alignment horizontal="center" vertical="center" wrapText="1"/>
    </xf>
    <xf numFmtId="0" fontId="0" fillId="25" borderId="3" xfId="0" applyFill="1" applyBorder="1" applyAlignment="1">
      <alignment horizontal="center" vertical="center" wrapText="1"/>
    </xf>
    <xf numFmtId="0" fontId="4" fillId="25" borderId="3" xfId="0" applyFont="1" applyFill="1" applyBorder="1" applyAlignment="1">
      <alignment horizontal="center" vertical="center" wrapText="1"/>
    </xf>
    <xf numFmtId="0" fontId="1" fillId="25" borderId="35" xfId="0" applyFont="1" applyFill="1" applyBorder="1" applyAlignment="1">
      <alignment horizontal="center" vertical="center" wrapText="1"/>
    </xf>
    <xf numFmtId="0" fontId="0" fillId="25" borderId="41" xfId="0" applyFill="1" applyBorder="1" applyAlignment="1">
      <alignment horizontal="center" vertical="center" wrapText="1"/>
    </xf>
    <xf numFmtId="0" fontId="0" fillId="25" borderId="40" xfId="0" applyFill="1" applyBorder="1" applyAlignment="1">
      <alignment horizontal="center" vertical="center" wrapText="1"/>
    </xf>
    <xf numFmtId="0" fontId="0" fillId="0" borderId="72" xfId="0" applyBorder="1" applyAlignment="1">
      <alignment horizontal="center" vertical="center" wrapText="1"/>
    </xf>
    <xf numFmtId="0" fontId="0" fillId="0" borderId="47" xfId="0" applyBorder="1" applyAlignment="1">
      <alignment horizontal="center" vertical="center" wrapText="1"/>
    </xf>
    <xf numFmtId="0" fontId="0" fillId="0" borderId="11" xfId="0" applyBorder="1" applyAlignment="1">
      <alignment horizontal="left" vertical="center" wrapText="1"/>
    </xf>
    <xf numFmtId="0" fontId="1" fillId="0" borderId="0" xfId="0" applyFont="1" applyAlignment="1">
      <alignment vertical="center" wrapText="1"/>
    </xf>
    <xf numFmtId="0" fontId="0" fillId="0" borderId="0" xfId="0" applyAlignment="1">
      <alignment vertical="center" wrapText="1"/>
    </xf>
    <xf numFmtId="0" fontId="4" fillId="0" borderId="42"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40" xfId="0" applyFont="1" applyBorder="1" applyAlignment="1">
      <alignment horizontal="center" vertical="center" wrapText="1"/>
    </xf>
    <xf numFmtId="0" fontId="11" fillId="0" borderId="41" xfId="0" applyFont="1" applyBorder="1" applyAlignment="1">
      <alignment horizontal="center" vertical="center" wrapText="1"/>
    </xf>
    <xf numFmtId="0" fontId="11" fillId="0" borderId="40" xfId="0" applyFont="1" applyBorder="1" applyAlignment="1">
      <alignment horizontal="center" vertical="center" wrapText="1"/>
    </xf>
    <xf numFmtId="0" fontId="0" fillId="0" borderId="42" xfId="0" applyBorder="1" applyAlignment="1">
      <alignment horizontal="center" vertical="center" wrapText="1"/>
    </xf>
    <xf numFmtId="0" fontId="0" fillId="0" borderId="41" xfId="0" applyBorder="1" applyAlignment="1">
      <alignment horizontal="center" vertical="center" wrapText="1"/>
    </xf>
    <xf numFmtId="0" fontId="0" fillId="0" borderId="40" xfId="0" applyBorder="1" applyAlignment="1">
      <alignment horizontal="center" vertical="center" wrapText="1"/>
    </xf>
    <xf numFmtId="0" fontId="30" fillId="0" borderId="42" xfId="0" applyFont="1" applyBorder="1" applyAlignment="1">
      <alignment horizontal="center" vertical="center" wrapText="1"/>
    </xf>
    <xf numFmtId="0" fontId="1" fillId="25" borderId="65" xfId="0" applyFont="1" applyFill="1" applyBorder="1" applyAlignment="1">
      <alignment horizontal="center" vertical="center" wrapText="1"/>
    </xf>
    <xf numFmtId="0" fontId="0" fillId="25" borderId="5" xfId="0" applyFill="1" applyBorder="1" applyAlignment="1">
      <alignment horizontal="center" vertical="center" wrapText="1"/>
    </xf>
    <xf numFmtId="0" fontId="1" fillId="25" borderId="3" xfId="0" applyFont="1" applyFill="1" applyBorder="1" applyAlignment="1">
      <alignment horizontal="center" vertical="center" wrapText="1"/>
    </xf>
    <xf numFmtId="0" fontId="0" fillId="0" borderId="10" xfId="0" applyBorder="1" applyAlignment="1">
      <alignment horizontal="center" vertical="center" wrapText="1"/>
    </xf>
    <xf numFmtId="3" fontId="0" fillId="0" borderId="10" xfId="0" applyNumberFormat="1" applyBorder="1" applyAlignment="1">
      <alignment horizontal="center" vertical="center" wrapText="1"/>
    </xf>
    <xf numFmtId="0" fontId="1" fillId="25" borderId="8" xfId="0" applyFont="1" applyFill="1" applyBorder="1" applyAlignment="1">
      <alignment horizontal="center" vertical="center" wrapText="1"/>
    </xf>
    <xf numFmtId="0" fontId="0" fillId="25" borderId="63" xfId="0" applyFill="1" applyBorder="1" applyAlignment="1">
      <alignment horizontal="center" vertical="center" wrapText="1"/>
    </xf>
    <xf numFmtId="0" fontId="1" fillId="25" borderId="62" xfId="0" applyFont="1" applyFill="1" applyBorder="1" applyAlignment="1">
      <alignment horizontal="center" vertical="center" wrapText="1"/>
    </xf>
    <xf numFmtId="0" fontId="0" fillId="25" borderId="9" xfId="0" applyFill="1" applyBorder="1" applyAlignment="1">
      <alignment horizontal="center" vertical="center" wrapText="1"/>
    </xf>
    <xf numFmtId="0" fontId="4" fillId="0" borderId="48" xfId="0" applyFont="1" applyBorder="1" applyAlignment="1">
      <alignment horizontal="center" vertical="center" wrapText="1"/>
    </xf>
    <xf numFmtId="0" fontId="0" fillId="0" borderId="3" xfId="0" applyBorder="1" applyAlignment="1">
      <alignment horizontal="center" vertical="center" wrapText="1"/>
    </xf>
    <xf numFmtId="0" fontId="28" fillId="0" borderId="0" xfId="0" applyFont="1" applyAlignment="1">
      <alignment horizontal="center" vertical="center" wrapText="1"/>
    </xf>
    <xf numFmtId="0" fontId="27" fillId="0" borderId="0" xfId="0" applyFont="1" applyAlignment="1">
      <alignment horizontal="center" vertical="center" wrapText="1"/>
    </xf>
    <xf numFmtId="0" fontId="11" fillId="0" borderId="0" xfId="0" applyFont="1" applyAlignment="1">
      <alignment horizontal="left" vertical="center" wrapText="1"/>
    </xf>
    <xf numFmtId="0" fontId="16" fillId="20" borderId="3" xfId="0" applyFont="1" applyFill="1" applyBorder="1" applyAlignment="1">
      <alignment horizontal="center" vertical="center"/>
    </xf>
    <xf numFmtId="0" fontId="25" fillId="20" borderId="3" xfId="0" applyFont="1" applyFill="1" applyBorder="1" applyAlignment="1">
      <alignment horizontal="center" vertical="center"/>
    </xf>
    <xf numFmtId="0" fontId="4" fillId="0" borderId="3" xfId="0" applyFont="1" applyBorder="1" applyAlignment="1">
      <alignment vertical="center"/>
    </xf>
    <xf numFmtId="0" fontId="4" fillId="2" borderId="8" xfId="0" applyFont="1" applyFill="1" applyBorder="1" applyAlignment="1">
      <alignment horizontal="left" vertical="center"/>
    </xf>
    <xf numFmtId="0" fontId="4" fillId="2" borderId="5" xfId="0" applyFont="1" applyFill="1" applyBorder="1" applyAlignment="1">
      <alignment horizontal="left" vertical="center"/>
    </xf>
    <xf numFmtId="0" fontId="4" fillId="2" borderId="9" xfId="0" applyFont="1" applyFill="1" applyBorder="1" applyAlignment="1">
      <alignment horizontal="left" vertical="center"/>
    </xf>
    <xf numFmtId="3" fontId="4" fillId="2" borderId="8" xfId="0" applyNumberFormat="1" applyFont="1" applyFill="1" applyBorder="1" applyAlignment="1">
      <alignment horizontal="center" vertical="center"/>
    </xf>
    <xf numFmtId="3" fontId="4" fillId="2" borderId="5" xfId="0" applyNumberFormat="1" applyFont="1" applyFill="1" applyBorder="1" applyAlignment="1">
      <alignment horizontal="center" vertical="center"/>
    </xf>
    <xf numFmtId="0" fontId="4" fillId="2" borderId="3" xfId="0" applyFont="1" applyFill="1" applyBorder="1" applyAlignment="1">
      <alignment horizontal="left" vertical="center"/>
    </xf>
    <xf numFmtId="0" fontId="4" fillId="20" borderId="8" xfId="0" applyFont="1" applyFill="1" applyBorder="1" applyAlignment="1">
      <alignment horizontal="center" vertical="center"/>
    </xf>
    <xf numFmtId="0" fontId="4" fillId="20" borderId="5" xfId="0" applyFont="1" applyFill="1" applyBorder="1" applyAlignment="1">
      <alignment horizontal="center" vertical="center"/>
    </xf>
    <xf numFmtId="0" fontId="4" fillId="20" borderId="9" xfId="0" applyFont="1" applyFill="1" applyBorder="1" applyAlignment="1">
      <alignment horizontal="center" vertical="center"/>
    </xf>
    <xf numFmtId="0" fontId="25" fillId="27" borderId="8" xfId="0" applyFont="1" applyFill="1" applyBorder="1" applyAlignment="1">
      <alignment horizontal="center" vertical="center"/>
    </xf>
    <xf numFmtId="0" fontId="25" fillId="27" borderId="5" xfId="0" applyFont="1" applyFill="1" applyBorder="1" applyAlignment="1">
      <alignment horizontal="center" vertical="center"/>
    </xf>
    <xf numFmtId="0" fontId="25" fillId="27" borderId="9" xfId="0" applyFont="1" applyFill="1" applyBorder="1" applyAlignment="1">
      <alignment horizontal="center" vertical="center"/>
    </xf>
    <xf numFmtId="0" fontId="4" fillId="27" borderId="8" xfId="0" applyFont="1" applyFill="1" applyBorder="1" applyAlignment="1">
      <alignment vertical="center"/>
    </xf>
    <xf numFmtId="0" fontId="4" fillId="27" borderId="5" xfId="0" applyFont="1" applyFill="1" applyBorder="1" applyAlignment="1">
      <alignment vertical="center"/>
    </xf>
    <xf numFmtId="0" fontId="4" fillId="27" borderId="9" xfId="0" applyFont="1" applyFill="1" applyBorder="1" applyAlignment="1">
      <alignment vertical="center"/>
    </xf>
    <xf numFmtId="0" fontId="38" fillId="29" borderId="0" xfId="0" applyFont="1" applyFill="1" applyAlignment="1">
      <alignment horizontal="center" vertical="center"/>
    </xf>
    <xf numFmtId="0" fontId="42" fillId="29" borderId="0" xfId="0" applyFont="1" applyFill="1" applyAlignment="1">
      <alignment horizontal="center" vertical="center"/>
    </xf>
    <xf numFmtId="0" fontId="25" fillId="2" borderId="3" xfId="0" applyFont="1" applyFill="1" applyBorder="1" applyAlignment="1">
      <alignment horizontal="left" vertical="center" wrapText="1"/>
    </xf>
    <xf numFmtId="0" fontId="38" fillId="27" borderId="0" xfId="0" applyFont="1" applyFill="1" applyAlignment="1">
      <alignment horizontal="left" vertical="center"/>
    </xf>
    <xf numFmtId="169" fontId="4" fillId="0" borderId="8" xfId="2" applyNumberFormat="1" applyFont="1" applyBorder="1" applyAlignment="1">
      <alignment horizontal="left" vertical="center"/>
    </xf>
    <xf numFmtId="169" fontId="4" fillId="0" borderId="5" xfId="2" applyNumberFormat="1" applyFont="1" applyBorder="1" applyAlignment="1">
      <alignment horizontal="left" vertical="center"/>
    </xf>
    <xf numFmtId="169" fontId="4" fillId="0" borderId="9" xfId="2" applyNumberFormat="1" applyFont="1" applyBorder="1" applyAlignment="1">
      <alignment horizontal="left" vertical="center"/>
    </xf>
    <xf numFmtId="0" fontId="4" fillId="2" borderId="8" xfId="2" applyNumberFormat="1" applyFont="1" applyFill="1" applyBorder="1" applyAlignment="1">
      <alignment horizontal="left" vertical="center"/>
    </xf>
    <xf numFmtId="0" fontId="4" fillId="2" borderId="5" xfId="2" applyNumberFormat="1" applyFont="1" applyFill="1" applyBorder="1" applyAlignment="1">
      <alignment horizontal="left" vertical="center"/>
    </xf>
    <xf numFmtId="0" fontId="4" fillId="2" borderId="9" xfId="2" applyNumberFormat="1" applyFont="1" applyFill="1" applyBorder="1" applyAlignment="1">
      <alignment horizontal="left" vertical="center"/>
    </xf>
    <xf numFmtId="14" fontId="4" fillId="2" borderId="8" xfId="2" applyNumberFormat="1" applyFont="1" applyFill="1" applyBorder="1" applyAlignment="1">
      <alignment horizontal="left" vertical="center"/>
    </xf>
    <xf numFmtId="44" fontId="4" fillId="2" borderId="5" xfId="2" applyFont="1" applyFill="1" applyBorder="1" applyAlignment="1">
      <alignment horizontal="left" vertical="center"/>
    </xf>
    <xf numFmtId="44" fontId="4" fillId="2" borderId="9" xfId="2" applyFont="1" applyFill="1" applyBorder="1" applyAlignment="1">
      <alignment horizontal="left" vertical="center"/>
    </xf>
    <xf numFmtId="0" fontId="0" fillId="0" borderId="0" xfId="0" applyAlignment="1">
      <alignment horizontal="left" vertical="center" wrapText="1"/>
    </xf>
    <xf numFmtId="0" fontId="35" fillId="0" borderId="0" xfId="0" applyFont="1" applyAlignment="1">
      <alignment horizontal="left" vertical="top" wrapText="1"/>
    </xf>
    <xf numFmtId="0" fontId="16" fillId="0" borderId="17" xfId="3" applyFont="1" applyBorder="1" applyAlignment="1">
      <alignment horizontal="left" vertical="top" wrapText="1"/>
    </xf>
    <xf numFmtId="0" fontId="16" fillId="0" borderId="18" xfId="3" applyFont="1" applyBorder="1" applyAlignment="1">
      <alignment horizontal="left" vertical="top" wrapText="1"/>
    </xf>
    <xf numFmtId="0" fontId="16" fillId="0" borderId="19" xfId="3" applyFont="1" applyBorder="1" applyAlignment="1">
      <alignment horizontal="left" vertical="top" wrapText="1"/>
    </xf>
    <xf numFmtId="0" fontId="17" fillId="0" borderId="20" xfId="3" applyFont="1" applyBorder="1" applyAlignment="1">
      <alignment horizontal="left" vertical="top" wrapText="1"/>
    </xf>
    <xf numFmtId="0" fontId="17" fillId="0" borderId="21" xfId="3" applyFont="1" applyBorder="1" applyAlignment="1">
      <alignment horizontal="left" vertical="top" wrapText="1"/>
    </xf>
    <xf numFmtId="0" fontId="17" fillId="0" borderId="22" xfId="3" applyFont="1" applyBorder="1" applyAlignment="1">
      <alignment horizontal="left" vertical="top" wrapText="1"/>
    </xf>
    <xf numFmtId="0" fontId="19" fillId="0" borderId="13" xfId="3" applyFont="1" applyBorder="1" applyAlignment="1">
      <alignment horizontal="left" vertical="top" wrapText="1"/>
    </xf>
    <xf numFmtId="0" fontId="19" fillId="0" borderId="12" xfId="3" applyFont="1" applyBorder="1" applyAlignment="1">
      <alignment horizontal="left" vertical="top" wrapText="1"/>
    </xf>
    <xf numFmtId="0" fontId="19" fillId="0" borderId="2" xfId="3" applyFont="1" applyBorder="1" applyAlignment="1">
      <alignment horizontal="left" vertical="top" wrapText="1"/>
    </xf>
  </cellXfs>
  <cellStyles count="8">
    <cellStyle name="Comma" xfId="1" builtinId="3"/>
    <cellStyle name="Currency" xfId="2" builtinId="4"/>
    <cellStyle name="Hyperlink" xfId="5" builtinId="8"/>
    <cellStyle name="Normal" xfId="0" builtinId="0"/>
    <cellStyle name="Normal 2" xfId="3" xr:uid="{00000000-0005-0000-0000-000004000000}"/>
    <cellStyle name="Normal 3" xfId="4" xr:uid="{00000000-0005-0000-0000-000005000000}"/>
    <cellStyle name="Normal 3 2" xfId="7" xr:uid="{B7615A21-332D-4FB8-A8E2-ED6CBB494973}"/>
    <cellStyle name="Percent" xfId="6" builtinId="5"/>
  </cellStyles>
  <dxfs count="18">
    <dxf>
      <font>
        <strike val="0"/>
        <color auto="1"/>
      </font>
      <fill>
        <patternFill>
          <bgColor rgb="FFE7858E"/>
        </patternFill>
      </fill>
    </dxf>
    <dxf>
      <fill>
        <patternFill>
          <bgColor theme="6" tint="0.3999450666829432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ont>
        <color theme="0"/>
      </font>
    </dxf>
    <dxf>
      <font>
        <color theme="4" tint="0.39994506668294322"/>
      </font>
    </dxf>
    <dxf>
      <font>
        <color theme="0"/>
      </font>
    </dxf>
    <dxf>
      <font>
        <color theme="0"/>
      </font>
    </dxf>
    <dxf>
      <font>
        <color theme="0"/>
      </font>
    </dxf>
    <dxf>
      <font>
        <color theme="0"/>
      </font>
    </dxf>
    <dxf>
      <font>
        <color theme="0"/>
      </font>
    </dxf>
    <dxf>
      <font>
        <color theme="0"/>
      </font>
    </dxf>
    <dxf>
      <font>
        <color theme="0"/>
      </font>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EFFBB3"/>
      <color rgb="FFFAFA9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21" Type="http://schemas.openxmlformats.org/officeDocument/2006/relationships/externalLink" Target="externalLinks/externalLink1.xml"/><Relationship Id="rId34"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33" Type="http://schemas.microsoft.com/office/2017/06/relationships/rdRichValueTypes" Target="richData/rdRichValueType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microsoft.com/office/2017/06/relationships/rdRichValueStructure" Target="richData/rdrichvaluestructure.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sharedStrings" Target="sharedStrings.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styles" Target="styles.xml"/><Relationship Id="rId30" Type="http://schemas.microsoft.com/office/2022/10/relationships/richValueRel" Target="richData/richValueRel.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Tasb1/vol1/Users/hammotif/AppData/Local/Microsoft/Windows/INetCache/Content.Outlook/LK8P6RYX/TASB%20MFI%20Facility%20Assessment%20Workbo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asb1/vol1/Users/hammotif/Desktop/Planning%20Membership/MFI%20Wish%20List/Workbook/MFI%20Workbook%20-%20MASTER%20TEMPLATE%20(5.20.2020)%20-%20V.16%20CURRENT%20TEMPLATE.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Tasb1/vol1/Users/ElliottM/AppData/Local/Microsoft/Windows/Temporary%20Internet%20Files/Content.Outlook/P5MJ6X2Z/Archive/Assessment%20Template%20(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Tasb1/vol1/Users/hammotif/Desktop/Planning%20Membership/MFI%20Wish%20List/Workbook/TASB%20MFI%20Facility%20Assessment%20Workbook_CS%20Version.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Tasb1/vol1/Users/clemmjef/Documents/Roof%20Observation%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Type Budget-READ ONLY"/>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Type Budget-READ ONLY"/>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Type Budget-READ ONLY"/>
      <sheetName val="County Names"/>
      <sheetName val="District Names"/>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uilding Type Budget-READ ONLY"/>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Clint Alsobrook" id="{FD841FE6-53AF-4848-8986-5C581E848A9C}" userId="S::Clint.Alsobrook@tasb.org::4b8b1548-fdd2-4892-b19f-8e32448b757c" providerId="AD"/>
  <person displayName="David Sturtz" id="{8090CDD2-1CC6-4447-81F0-D7F59E7B8B9C}" userId="S::dsturtz@coopstrategies.com::7a2138f1-3929-4bb1-9458-ef8998c4a97a" providerId="AD"/>
</personList>
</file>

<file path=xl/richData/_rels/richValueRel.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3">
  <rv s="0">
    <v>0</v>
    <v>5</v>
  </rv>
  <rv s="0">
    <v>1</v>
    <v>5</v>
  </rv>
  <rv s="0">
    <v>2</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141" dT="2023-03-09T15:57:45.31" personId="{8090CDD2-1CC6-4447-81F0-D7F59E7B8B9C}" id="{4F0DB040-BF8E-45BF-BA4B-5CF5BA7E6FE0}">
    <text xml:space="preserve">there was a slight formatting difference b/t this and the label in the PCA cost table: changed to the PCA cost table language
</text>
  </threadedComment>
  <threadedComment ref="C169" dT="2023-03-09T15:58:01.69" personId="{8090CDD2-1CC6-4447-81F0-D7F59E7B8B9C}" id="{D8857CEE-A667-43B5-B8E6-7FE2FA153A4A}">
    <text xml:space="preserve">This was called "exterior site (pole) lighting here but labeled "site lighting" in the PCA cost table.  Changed to the simplier language in the PCA cost table
</text>
  </threadedComment>
</ThreadedComments>
</file>

<file path=xl/threadedComments/threadedComment2.xml><?xml version="1.0" encoding="utf-8"?>
<ThreadedComments xmlns="http://schemas.microsoft.com/office/spreadsheetml/2018/threadedcomments" xmlns:x="http://schemas.openxmlformats.org/spreadsheetml/2006/main">
  <threadedComment ref="J210" dT="2020-05-18T15:56:15.34" personId="{FD841FE6-53AF-4848-8986-5C581E848A9C}" id="{C7CBFB7B-DA0C-4F68-B937-9F8A5D0D5489}">
    <text>Can instructor see all screens at same time?</text>
  </threadedComment>
</ThreadedComments>
</file>

<file path=xl/worksheets/_rels/sheet1.xml.rels><?xml version="1.0" encoding="UTF-8" standalone="yes"?>
<Relationships xmlns="http://schemas.openxmlformats.org/package/2006/relationships"><Relationship Id="rId1" Type="http://schemas.openxmlformats.org/officeDocument/2006/relationships/hyperlink" Target="https://school-infrastructure.org/contact-us/"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 Id="rId4" Type="http://schemas.microsoft.com/office/2017/10/relationships/threadedComment" Target="../threadedComments/threadedComment2.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2ADC6-59C4-BD46-A3E9-C7CCFB15FE22}">
  <sheetPr>
    <tabColor rgb="FF92D050"/>
  </sheetPr>
  <dimension ref="A1:K17"/>
  <sheetViews>
    <sheetView tabSelected="1" zoomScale="110" zoomScaleNormal="110" workbookViewId="0">
      <selection activeCell="B18" sqref="B18"/>
    </sheetView>
  </sheetViews>
  <sheetFormatPr baseColWidth="10" defaultColWidth="10.6640625" defaultRowHeight="15" x14ac:dyDescent="0.2"/>
  <cols>
    <col min="1" max="1" width="41.5" style="502" customWidth="1"/>
    <col min="2" max="2" width="40.6640625" style="502" customWidth="1"/>
    <col min="3" max="3" width="2.6640625" style="502" customWidth="1"/>
    <col min="4" max="4" width="40.83203125" style="502" customWidth="1"/>
    <col min="5" max="7" width="10.6640625" style="502"/>
    <col min="8" max="8" width="14.83203125" style="502" customWidth="1"/>
    <col min="9" max="16384" width="10.6640625" style="502"/>
  </cols>
  <sheetData>
    <row r="1" spans="1:11" ht="34" x14ac:dyDescent="0.4">
      <c r="A1" s="808" t="s">
        <v>2067</v>
      </c>
    </row>
    <row r="2" spans="1:11" s="809" customFormat="1" ht="26" customHeight="1" x14ac:dyDescent="0.3">
      <c r="A2" s="809" t="s">
        <v>2068</v>
      </c>
    </row>
    <row r="3" spans="1:11" s="809" customFormat="1" ht="26" customHeight="1" x14ac:dyDescent="0.3">
      <c r="A3" s="810" t="s">
        <v>2069</v>
      </c>
    </row>
    <row r="4" spans="1:11" s="469" customFormat="1" ht="146" customHeight="1" x14ac:dyDescent="0.2">
      <c r="A4" s="469" t="e" vm="1">
        <v>#VALUE!</v>
      </c>
      <c r="B4" s="469" t="e" vm="2">
        <v>#VALUE!</v>
      </c>
      <c r="D4" s="469" t="e" vm="3">
        <v>#VALUE!</v>
      </c>
    </row>
    <row r="5" spans="1:11" ht="26" customHeight="1" x14ac:dyDescent="0.3">
      <c r="A5" s="805" t="s">
        <v>2017</v>
      </c>
    </row>
    <row r="6" spans="1:11" ht="26" customHeight="1" x14ac:dyDescent="0.3">
      <c r="A6" s="805" t="s">
        <v>2018</v>
      </c>
    </row>
    <row r="7" spans="1:11" ht="26" customHeight="1" x14ac:dyDescent="0.3">
      <c r="A7" s="811" t="s">
        <v>2064</v>
      </c>
    </row>
    <row r="8" spans="1:11" ht="26" customHeight="1" x14ac:dyDescent="0.3">
      <c r="A8" s="811" t="s">
        <v>2070</v>
      </c>
    </row>
    <row r="10" spans="1:11" ht="24" x14ac:dyDescent="0.3">
      <c r="A10" s="809" t="s">
        <v>2071</v>
      </c>
    </row>
    <row r="11" spans="1:11" ht="28" x14ac:dyDescent="0.25">
      <c r="A11" s="812" t="s">
        <v>2072</v>
      </c>
      <c r="K11" s="806"/>
    </row>
    <row r="12" spans="1:11" ht="21" x14ac:dyDescent="0.25">
      <c r="A12" s="812" t="s">
        <v>2073</v>
      </c>
    </row>
    <row r="13" spans="1:11" ht="21" x14ac:dyDescent="0.25">
      <c r="A13" s="812" t="s">
        <v>2074</v>
      </c>
    </row>
    <row r="14" spans="1:11" ht="16" thickBot="1" x14ac:dyDescent="0.25">
      <c r="K14"/>
    </row>
    <row r="15" spans="1:11" ht="24" x14ac:dyDescent="0.3">
      <c r="B15" s="813" t="s">
        <v>2075</v>
      </c>
      <c r="C15" s="814"/>
      <c r="D15" s="814"/>
      <c r="E15" s="814"/>
      <c r="F15" s="814"/>
      <c r="G15" s="814"/>
      <c r="H15" s="815"/>
    </row>
    <row r="16" spans="1:11" s="807" customFormat="1" ht="24" x14ac:dyDescent="0.3">
      <c r="B16" s="816" t="s">
        <v>2076</v>
      </c>
      <c r="C16" s="817"/>
      <c r="D16" s="817"/>
      <c r="E16" s="817"/>
      <c r="F16" s="817"/>
      <c r="G16" s="817"/>
      <c r="H16" s="818"/>
    </row>
    <row r="17" spans="2:8" s="807" customFormat="1" ht="25" thickBot="1" x14ac:dyDescent="0.35">
      <c r="B17" s="819" t="s">
        <v>2081</v>
      </c>
      <c r="C17" s="820"/>
      <c r="D17" s="820"/>
      <c r="E17" s="820"/>
      <c r="F17" s="820"/>
      <c r="G17" s="820"/>
      <c r="H17" s="821"/>
    </row>
  </sheetData>
  <hyperlinks>
    <hyperlink ref="B16" r:id="rId1" xr:uid="{A7E5FF09-53E4-7140-9492-3EE3B47C84D6}"/>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824185-1E99-48B6-92BD-ACE0172C8FB7}">
  <sheetPr codeName="Sheet9"/>
  <dimension ref="A1:O73"/>
  <sheetViews>
    <sheetView zoomScale="70" zoomScaleNormal="70" workbookViewId="0">
      <selection activeCell="A50" sqref="A50"/>
    </sheetView>
  </sheetViews>
  <sheetFormatPr baseColWidth="10" defaultColWidth="9.1640625" defaultRowHeight="15" x14ac:dyDescent="0.2"/>
  <cols>
    <col min="1" max="1" width="53.5" customWidth="1"/>
    <col min="2" max="3" width="60.6640625" customWidth="1"/>
    <col min="4" max="4" width="13.5" customWidth="1"/>
    <col min="5" max="5" width="94.6640625" customWidth="1"/>
    <col min="7" max="7" width="9.1640625" customWidth="1"/>
    <col min="8" max="8" width="9.1640625" hidden="1" customWidth="1"/>
    <col min="9" max="9" width="0" hidden="1" customWidth="1"/>
    <col min="10" max="12" width="9.1640625" hidden="1" customWidth="1"/>
    <col min="14" max="14" width="94.6640625" customWidth="1"/>
    <col min="15" max="15" width="32.6640625" customWidth="1"/>
  </cols>
  <sheetData>
    <row r="1" spans="1:15" x14ac:dyDescent="0.2">
      <c r="A1" s="893" t="s">
        <v>942</v>
      </c>
      <c r="B1" s="893"/>
      <c r="C1" s="893"/>
    </row>
    <row r="2" spans="1:15" x14ac:dyDescent="0.2">
      <c r="E2" s="467"/>
    </row>
    <row r="3" spans="1:15" ht="32.25" customHeight="1" x14ac:dyDescent="0.2">
      <c r="A3" s="126" t="s">
        <v>943</v>
      </c>
      <c r="B3" s="412" t="s">
        <v>944</v>
      </c>
      <c r="C3" s="412" t="s">
        <v>945</v>
      </c>
      <c r="D3" s="127" t="s">
        <v>946</v>
      </c>
      <c r="E3" s="372" t="s">
        <v>947</v>
      </c>
      <c r="N3" s="412" t="s">
        <v>945</v>
      </c>
      <c r="O3" s="127" t="s">
        <v>946</v>
      </c>
    </row>
    <row r="4" spans="1:15" ht="48" x14ac:dyDescent="0.2">
      <c r="A4" s="113" t="s">
        <v>100</v>
      </c>
      <c r="B4" s="131" t="str">
        <f>_xlfn.XLOOKUP($A4,AUTO_NOTES!$B:$B,AUTO_NOTES!$Q:$Q,"missing",0)</f>
        <v>0 0 0 0 0 0</v>
      </c>
      <c r="C4" s="131" t="str">
        <f>_xlfn.XLOOKUP($A4,AUTO_NOTES!$B:$B,AUTO_NOTES!$M:$M,"missing",0)</f>
        <v>None of this system requires major renovation or replacement.   The cost to address identified needs is  &lt;1% of estimated cost to replace them, indicating need for regular maintenance and repairs.</v>
      </c>
      <c r="D4" s="113" t="str">
        <f>_xlfn.XLOOKUP($A4,AUTO_NOTES!$B:$B,AUTO_NOTES!$L:$L,"missing",0)</f>
        <v>Green</v>
      </c>
      <c r="E4" s="61" t="s">
        <v>948</v>
      </c>
      <c r="H4" t="s">
        <v>949</v>
      </c>
      <c r="N4" s="131" t="str">
        <f>_xlfn.XLOOKUP($A4,AUTO_NOTES!$B:$B,AUTO_NOTES!$M:$M,"missing",0)</f>
        <v>None of this system requires major renovation or replacement.   The cost to address identified needs is  &lt;1% of estimated cost to replace them, indicating need for regular maintenance and repairs.</v>
      </c>
      <c r="O4" s="113" t="str">
        <f>_xlfn.XLOOKUP($A4,AUTO_NOTES!$B:$B,AUTO_NOTES!$L:$L,"missing",0)</f>
        <v>Green</v>
      </c>
    </row>
    <row r="5" spans="1:15" ht="48" x14ac:dyDescent="0.2">
      <c r="A5" s="114" t="s">
        <v>85</v>
      </c>
      <c r="B5" s="132" t="str">
        <f>_xlfn.XLOOKUP($A5,AUTO_NOTES!$B:$B,AUTO_NOTES!$Q:$Q,"missing",0)</f>
        <v>0 0 0 0 0 0 0 0 0 0 0 0 0 0 0 0 0 0 0 0 0 0 0 0 0 0 0 0</v>
      </c>
      <c r="C5" s="132" t="str">
        <f>_xlfn.XLOOKUP($A5,AUTO_NOTES!$B:$B,AUTO_NOTES!$M:$M,"missing",0)</f>
        <v>None of this system requires major renovation or replacement.   The cost to address identified needs is  &lt;1% of estimated cost to replace them, indicating need for regular maintenance and repairs.</v>
      </c>
      <c r="D5" s="114" t="str">
        <f>_xlfn.XLOOKUP($A5,AUTO_NOTES!$B:$B,AUTO_NOTES!$L:$L,"missing",0)</f>
        <v>Green</v>
      </c>
      <c r="H5" t="s">
        <v>950</v>
      </c>
      <c r="N5" s="132" t="str">
        <f>_xlfn.XLOOKUP($A5,AUTO_NOTES!$B:$B,AUTO_NOTES!$M:$M,"missing",0)</f>
        <v>None of this system requires major renovation or replacement.   The cost to address identified needs is  &lt;1% of estimated cost to replace them, indicating need for regular maintenance and repairs.</v>
      </c>
      <c r="O5" s="114" t="str">
        <f>_xlfn.XLOOKUP($A5,AUTO_NOTES!$B:$B,AUTO_NOTES!$L:$L,"missing",0)</f>
        <v>Green</v>
      </c>
    </row>
    <row r="6" spans="1:15" ht="48" x14ac:dyDescent="0.2">
      <c r="A6" s="115" t="s">
        <v>70</v>
      </c>
      <c r="B6" s="133" t="str">
        <f>_xlfn.XLOOKUP($A6,AUTO_NOTES!$B:$B,AUTO_NOTES!$Q:$Q,"missing",0)</f>
        <v>0 0 0 0</v>
      </c>
      <c r="C6" s="133" t="str">
        <f>_xlfn.XLOOKUP($A6,AUTO_NOTES!$B:$B,AUTO_NOTES!$M:$M,"missing",0)</f>
        <v>None of this system requires major renovation or replacement.   The cost to address identified needs is  &lt;1% of estimated cost to replace them, indicating need for regular maintenance and repairs.</v>
      </c>
      <c r="D6" s="115" t="str">
        <f>_xlfn.XLOOKUP($A6,AUTO_NOTES!$B:$B,AUTO_NOTES!$L:$L,"missing",0)</f>
        <v>Green</v>
      </c>
      <c r="E6" s="888" t="s">
        <v>951</v>
      </c>
      <c r="H6" t="s">
        <v>952</v>
      </c>
      <c r="N6" s="133" t="str">
        <f>_xlfn.XLOOKUP($A6,AUTO_NOTES!$B:$B,AUTO_NOTES!$M:$M,"missing",0)</f>
        <v>None of this system requires major renovation or replacement.   The cost to address identified needs is  &lt;1% of estimated cost to replace them, indicating need for regular maintenance and repairs.</v>
      </c>
      <c r="O6" s="115" t="str">
        <f>_xlfn.XLOOKUP($A6,AUTO_NOTES!$B:$B,AUTO_NOTES!$L:$L,"missing",0)</f>
        <v>Green</v>
      </c>
    </row>
    <row r="7" spans="1:15" ht="96" x14ac:dyDescent="0.2">
      <c r="A7" s="116" t="s">
        <v>953</v>
      </c>
      <c r="B7" s="134" t="str">
        <f>AUTO_NOTES!Q44&amp;" "&amp;AUTO_NOTES!Q62</f>
        <v>0 0 0 0 0 0 0 0 0 0 0 0 0 0 0 0 0 0 0 0 0 0 0 0 0</v>
      </c>
      <c r="C7" s="134" t="str">
        <f>AUTO_NOTES!B44&amp;":"&amp;" "&amp;AUTO_NOTES!M44&amp;" "&amp;AUTO_NOTES!B62&amp;":"&amp;" "&amp;AUTO_NOTES!M62</f>
        <v>HVAC: None of this system requires major renovation or replacement.   The cost to address identified needs is  &lt;1% of estimated cost to replace them, indicating need for regular maintenance and repairs. Plumbing: None of this system requires major renovation or replacement.   The cost to address identified needs is  &lt;1% of estimated cost to replace them, indicating need for regular maintenance and repairs.</v>
      </c>
      <c r="D7" s="116" t="e">
        <f>IF(L7&lt;0.329,"Green",IF(L7&lt;0.659,"Yellow",IF(L7&gt;0.659,"Red")))</f>
        <v>#DIV/0!</v>
      </c>
      <c r="E7" s="888"/>
      <c r="J7">
        <f>SUM(AUTO_NOTES!F44:F49)+SUM(AUTO_NOTES!F62:F67)</f>
        <v>0</v>
      </c>
      <c r="K7">
        <f>SUM(AUTO_NOTES!G44:G49)+SUM(AUTO_NOTES!G62:G67)</f>
        <v>0</v>
      </c>
      <c r="L7" t="e">
        <f>J7/K7</f>
        <v>#DIV/0!</v>
      </c>
      <c r="N7" s="134" t="str">
        <f>AUTO_NOTES!M44&amp;":"&amp;" "&amp;AUTO_NOTES!X44&amp;" "&amp;AUTO_NOTES!M62&amp;":"&amp;" "&amp;AUTO_NOTES!X62</f>
        <v xml:space="preserve">None of this system requires major renovation or replacement.   The cost to address identified needs is  &lt;1% of estimated cost to replace them, indicating need for regular maintenance and repairs.:  None of this system requires major renovation or replacement.   The cost to address identified needs is  &lt;1% of estimated cost to replace them, indicating need for regular maintenance and repairs.: </v>
      </c>
      <c r="O7" s="116" t="e">
        <f>IF(L7&lt;0.329,"Green",IF(L7&lt;0.659,"Yellow",IF(L7&gt;0.659,"Red")))</f>
        <v>#DIV/0!</v>
      </c>
    </row>
    <row r="8" spans="1:15" ht="48" x14ac:dyDescent="0.2">
      <c r="A8" s="117" t="s">
        <v>93</v>
      </c>
      <c r="B8" s="135" t="str">
        <f>_xlfn.XLOOKUP($A8,AUTO_NOTES!$B:$B,AUTO_NOTES!$Q:$Q,"missing",0)</f>
        <v>0 0 0 0 0 0 0 0 0 0 0 0 0</v>
      </c>
      <c r="C8" s="135" t="str">
        <f>_xlfn.XLOOKUP($A8,AUTO_NOTES!$B:$B,AUTO_NOTES!$M:$M,"missing",0)</f>
        <v>None of this system requires major renovation or replacement.   The cost to address identified needs is  &lt;1% of estimated cost to replace them, indicating need for regular maintenance and repairs.</v>
      </c>
      <c r="D8" s="117" t="str">
        <f>_xlfn.XLOOKUP($A8,AUTO_NOTES!$B:$B,AUTO_NOTES!$L:$L,"missing",0)</f>
        <v>Green</v>
      </c>
      <c r="E8" s="437"/>
      <c r="N8" s="135" t="str">
        <f>_xlfn.XLOOKUP($A8,AUTO_NOTES!$B:$B,AUTO_NOTES!$M:$M,"missing",0)</f>
        <v>None of this system requires major renovation or replacement.   The cost to address identified needs is  &lt;1% of estimated cost to replace them, indicating need for regular maintenance and repairs.</v>
      </c>
      <c r="O8" s="117" t="str">
        <f>_xlfn.XLOOKUP($A8,AUTO_NOTES!$B:$B,AUTO_NOTES!$L:$L,"missing",0)</f>
        <v>Green</v>
      </c>
    </row>
    <row r="9" spans="1:15" x14ac:dyDescent="0.2">
      <c r="A9" s="23" t="s">
        <v>954</v>
      </c>
      <c r="B9" s="107">
        <f>ADA!B29</f>
        <v>0</v>
      </c>
      <c r="C9" s="64">
        <f>ADA!C29</f>
        <v>0</v>
      </c>
      <c r="D9" s="23">
        <f>ADA!D29</f>
        <v>0</v>
      </c>
      <c r="E9" s="61" t="s">
        <v>955</v>
      </c>
      <c r="N9" s="64">
        <f>ADA!N29</f>
        <v>0</v>
      </c>
      <c r="O9" s="23">
        <f>ADA!O29</f>
        <v>0</v>
      </c>
    </row>
    <row r="10" spans="1:15" ht="48" x14ac:dyDescent="0.2">
      <c r="A10" s="118" t="s">
        <v>351</v>
      </c>
      <c r="B10" s="136" t="str">
        <f>_xlfn.XLOOKUP($A10,AUTO_NOTES!$B:$B,AUTO_NOTES!$Q:$Q,"missing",0)</f>
        <v>0 0 0</v>
      </c>
      <c r="C10" s="136" t="str">
        <f>_xlfn.XLOOKUP($A10,AUTO_NOTES!$B:$B,AUTO_NOTES!$M:$M,"missing",0)</f>
        <v>None of this system requires major renovation or replacement.   The cost to address identified needs is  &lt;1% of estimated cost to replace them, indicating need for regular maintenance and repairs.</v>
      </c>
      <c r="D10" s="118" t="str">
        <f>_xlfn.XLOOKUP($A10,AUTO_NOTES!$B:$B,AUTO_NOTES!$L:$L,"missing",0)</f>
        <v>Green</v>
      </c>
      <c r="N10" s="136" t="str">
        <f>_xlfn.XLOOKUP($A10,AUTO_NOTES!$B:$B,AUTO_NOTES!$M:$M,"missing",0)</f>
        <v>None of this system requires major renovation or replacement.   The cost to address identified needs is  &lt;1% of estimated cost to replace them, indicating need for regular maintenance and repairs.</v>
      </c>
      <c r="O10" s="118" t="str">
        <f>_xlfn.XLOOKUP($A10,AUTO_NOTES!$B:$B,AUTO_NOTES!$L:$L,"missing",0)</f>
        <v>Green</v>
      </c>
    </row>
    <row r="11" spans="1:15" ht="48" x14ac:dyDescent="0.2">
      <c r="A11" s="119" t="s">
        <v>326</v>
      </c>
      <c r="B11" s="137" t="str">
        <f>_xlfn.XLOOKUP($A11,AUTO_NOTES!$B:$B,AUTO_NOTES!$Q:$Q,"missing",0)</f>
        <v>0 0 0 0 0 0 0 0</v>
      </c>
      <c r="C11" s="137" t="str">
        <f>_xlfn.XLOOKUP($A11,AUTO_NOTES!$B:$B,AUTO_NOTES!$M:$M,"missing",0)</f>
        <v>None of this system requires major renovation or replacement.   The cost to address identified needs is  &lt;1% of estimated cost to replace them, indicating need for regular maintenance and repairs.</v>
      </c>
      <c r="D11" s="119" t="str">
        <f>_xlfn.XLOOKUP($A11,AUTO_NOTES!$B:$B,AUTO_NOTES!$L:$L,"missing",0)</f>
        <v>Green</v>
      </c>
      <c r="E11" s="61" t="s">
        <v>90</v>
      </c>
      <c r="N11" s="137" t="str">
        <f>_xlfn.XLOOKUP($A11,AUTO_NOTES!$B:$B,AUTO_NOTES!$M:$M,"missing",0)</f>
        <v>None of this system requires major renovation or replacement.   The cost to address identified needs is  &lt;1% of estimated cost to replace them, indicating need for regular maintenance and repairs.</v>
      </c>
      <c r="O11" s="119" t="str">
        <f>_xlfn.XLOOKUP($A11,AUTO_NOTES!$B:$B,AUTO_NOTES!$L:$L,"missing",0)</f>
        <v>Green</v>
      </c>
    </row>
    <row r="12" spans="1:15" ht="48" x14ac:dyDescent="0.2">
      <c r="A12" s="120" t="s">
        <v>358</v>
      </c>
      <c r="B12" s="138" t="str">
        <f>_xlfn.XLOOKUP($A12,AUTO_NOTES!$B:$B,AUTO_NOTES!$Q:$Q,"missing",0)</f>
        <v>0 0</v>
      </c>
      <c r="C12" s="138" t="str">
        <f>_xlfn.XLOOKUP($A12,AUTO_NOTES!$B:$B,AUTO_NOTES!$M:$M,"missing",0)</f>
        <v>None of this system requires major renovation or replacement.   The cost to address identified needs is  &lt;1% of estimated cost to replace them, indicating need for regular maintenance and repairs.</v>
      </c>
      <c r="D12" s="120" t="str">
        <f>_xlfn.XLOOKUP($A12,AUTO_NOTES!$B:$B,AUTO_NOTES!$L:$L,"missing",0)</f>
        <v>Green</v>
      </c>
      <c r="N12" s="138" t="str">
        <f>_xlfn.XLOOKUP($A12,AUTO_NOTES!$B:$B,AUTO_NOTES!$M:$M,"missing",0)</f>
        <v>None of this system requires major renovation or replacement.   The cost to address identified needs is  &lt;1% of estimated cost to replace them, indicating need for regular maintenance and repairs.</v>
      </c>
      <c r="O12" s="120" t="str">
        <f>_xlfn.XLOOKUP($A12,AUTO_NOTES!$B:$B,AUTO_NOTES!$L:$L,"missing",0)</f>
        <v>Green</v>
      </c>
    </row>
    <row r="13" spans="1:15" ht="48" x14ac:dyDescent="0.2">
      <c r="A13" s="121" t="s">
        <v>302</v>
      </c>
      <c r="B13" s="139" t="str">
        <f>_xlfn.XLOOKUP($A13,AUTO_NOTES!$B:$B,AUTO_NOTES!$Q:$Q,"missing",0)</f>
        <v>0 0 0 0 0 0 0 0 0 0 0 0</v>
      </c>
      <c r="C13" s="139" t="str">
        <f>_xlfn.XLOOKUP($A13,AUTO_NOTES!$B:$B,AUTO_NOTES!$M:$M,"missing",0)</f>
        <v>None of this system requires major renovation or replacement.   The cost to address identified needs is  &lt;1% of estimated cost to replace them, indicating need for regular maintenance and repairs.</v>
      </c>
      <c r="D13" s="121" t="str">
        <f>_xlfn.XLOOKUP($A13,AUTO_NOTES!$B:$B,AUTO_NOTES!$L:$L,"missing",0)</f>
        <v>Green</v>
      </c>
      <c r="N13" s="139" t="str">
        <f>_xlfn.XLOOKUP($A13,AUTO_NOTES!$B:$B,AUTO_NOTES!$M:$M,"missing",0)</f>
        <v>None of this system requires major renovation or replacement.   The cost to address identified needs is  &lt;1% of estimated cost to replace them, indicating need for regular maintenance and repairs.</v>
      </c>
      <c r="O13" s="121" t="str">
        <f>_xlfn.XLOOKUP($A13,AUTO_NOTES!$B:$B,AUTO_NOTES!$L:$L,"missing",0)</f>
        <v>Green</v>
      </c>
    </row>
    <row r="14" spans="1:15" ht="48" x14ac:dyDescent="0.2">
      <c r="A14" s="122" t="s">
        <v>125</v>
      </c>
      <c r="B14" s="140" t="str">
        <f>_xlfn.XLOOKUP($A14,AUTO_NOTES!$B:$B,AUTO_NOTES!$Q:$Q,"missing",0)</f>
        <v>0 0 0 0 0 0 0 0 0 0</v>
      </c>
      <c r="C14" s="140" t="str">
        <f>_xlfn.XLOOKUP($A14,AUTO_NOTES!$B:$B,AUTO_NOTES!$M:$M,"missing",0)</f>
        <v>None of this system requires major renovation or replacement.   The cost to address identified needs is  &lt;1% of estimated cost to replace them, indicating need for regular maintenance and repairs.</v>
      </c>
      <c r="D14" s="122" t="str">
        <f>_xlfn.XLOOKUP($A14,AUTO_NOTES!$B:$B,AUTO_NOTES!$L:$L,"missing",0)</f>
        <v>Green</v>
      </c>
      <c r="N14" s="140" t="str">
        <f>_xlfn.XLOOKUP($A14,AUTO_NOTES!$B:$B,AUTO_NOTES!$M:$M,"missing",0)</f>
        <v>None of this system requires major renovation or replacement.   The cost to address identified needs is  &lt;1% of estimated cost to replace them, indicating need for regular maintenance and repairs.</v>
      </c>
      <c r="O14" s="122" t="str">
        <f>_xlfn.XLOOKUP($A14,AUTO_NOTES!$B:$B,AUTO_NOTES!$L:$L,"missing",0)</f>
        <v>Green</v>
      </c>
    </row>
    <row r="15" spans="1:15" ht="48" x14ac:dyDescent="0.2">
      <c r="A15" s="123" t="s">
        <v>293</v>
      </c>
      <c r="B15" s="141" t="str">
        <f>_xlfn.XLOOKUP($A15,AUTO_NOTES!$B:$B,AUTO_NOTES!$Q:$Q,"missing",0)</f>
        <v>0 0 0 0</v>
      </c>
      <c r="C15" s="141" t="str">
        <f>_xlfn.XLOOKUP($A15,AUTO_NOTES!$B:$B,AUTO_NOTES!$M:$M,"missing",0)</f>
        <v>None of this system requires major renovation or replacement.   The cost to address identified needs is  &lt;1% of estimated cost to replace them, indicating need for regular maintenance and repairs.</v>
      </c>
      <c r="D15" s="123" t="str">
        <f>_xlfn.XLOOKUP($A15,AUTO_NOTES!$B:$B,AUTO_NOTES!$L:$L,"missing",0)</f>
        <v>Green</v>
      </c>
      <c r="N15" s="141" t="str">
        <f>_xlfn.XLOOKUP($A15,AUTO_NOTES!$B:$B,AUTO_NOTES!$M:$M,"missing",0)</f>
        <v>None of this system requires major renovation or replacement.   The cost to address identified needs is  &lt;1% of estimated cost to replace them, indicating need for regular maintenance and repairs.</v>
      </c>
      <c r="O15" s="123" t="str">
        <f>_xlfn.XLOOKUP($A15,AUTO_NOTES!$B:$B,AUTO_NOTES!$L:$L,"missing",0)</f>
        <v>Green</v>
      </c>
    </row>
    <row r="16" spans="1:15" ht="48" x14ac:dyDescent="0.2">
      <c r="A16" s="124" t="s">
        <v>114</v>
      </c>
      <c r="B16" s="142" t="str">
        <f>_xlfn.XLOOKUP($A16,AUTO_NOTES!$B:$B,AUTO_NOTES!$Q:$Q,"missing",0)</f>
        <v>0 0 0 0 0 0 0</v>
      </c>
      <c r="C16" s="142" t="str">
        <f>_xlfn.XLOOKUP($A16,AUTO_NOTES!$B:$B,AUTO_NOTES!$M:$M,"missing",0)</f>
        <v>None of this system requires major renovation or replacement.   The cost to address identified needs is  &lt;1% of estimated cost to replace them, indicating need for regular maintenance and repairs.</v>
      </c>
      <c r="D16" s="124" t="str">
        <f>_xlfn.XLOOKUP($A16,AUTO_NOTES!$B:$B,AUTO_NOTES!$L:$L,"missing",0)</f>
        <v>Green</v>
      </c>
      <c r="N16" s="142" t="str">
        <f>_xlfn.XLOOKUP($A16,AUTO_NOTES!$B:$B,AUTO_NOTES!$M:$M,"missing",0)</f>
        <v>None of this system requires major renovation or replacement.   The cost to address identified needs is  &lt;1% of estimated cost to replace them, indicating need for regular maintenance and repairs.</v>
      </c>
      <c r="O16" s="124" t="str">
        <f>_xlfn.XLOOKUP($A16,AUTO_NOTES!$B:$B,AUTO_NOTES!$L:$L,"missing",0)</f>
        <v>Green</v>
      </c>
    </row>
    <row r="17" spans="1:15" ht="48" x14ac:dyDescent="0.2">
      <c r="A17" s="125" t="s">
        <v>207</v>
      </c>
      <c r="B17" s="143" t="str">
        <f>_xlfn.XLOOKUP($A17,AUTO_NOTES!$B:$B,AUTO_NOTES!$Q:$Q,"missing",0)</f>
        <v>0 0 0 0 0 0 0</v>
      </c>
      <c r="C17" s="143" t="str">
        <f>_xlfn.XLOOKUP($A17,AUTO_NOTES!$B:$B,AUTO_NOTES!$M:$M,"missing",0)</f>
        <v>None of this system requires major renovation or replacement.   The cost to address identified needs is  &lt;1% of estimated cost to replace them, indicating need for regular maintenance and repairs.</v>
      </c>
      <c r="D17" s="125" t="str">
        <f>_xlfn.XLOOKUP($A17,AUTO_NOTES!$B:$B,AUTO_NOTES!$L:$L,"missing",0)</f>
        <v>Green</v>
      </c>
      <c r="N17" s="143" t="str">
        <f>_xlfn.XLOOKUP($A17,AUTO_NOTES!$B:$B,AUTO_NOTES!$M:$M,"missing",0)</f>
        <v>None of this system requires major renovation or replacement.   The cost to address identified needs is  &lt;1% of estimated cost to replace them, indicating need for regular maintenance and repairs.</v>
      </c>
      <c r="O17" s="125" t="str">
        <f>_xlfn.XLOOKUP($A17,AUTO_NOTES!$B:$B,AUTO_NOTES!$L:$L,"missing",0)</f>
        <v>Green</v>
      </c>
    </row>
    <row r="18" spans="1:15" ht="45" customHeight="1" x14ac:dyDescent="0.2">
      <c r="A18" s="435" t="s">
        <v>956</v>
      </c>
      <c r="B18" s="435" t="str">
        <f>_xlfn.CONCAT('Physical Condition Assessment'!C175:I175,'Physical Condition Assessment'!C176:I176,'Physical Condition Assessment'!C177:I177,'Physical Condition Assessment'!C178:I178,'Physical Condition Assessment'!C179:I179,'Physical Condition Assessment'!C180:I180,'Physical Condition Assessment'!C181:I181,'Physical Condition Assessment'!C182:I182,'Physical Condition Assessment'!C183:I183,'Physical Condition Assessment'!C184:I184,'Physical Condition Assessment'!C185:I185,'Physical Condition Assessment'!C186:I186,'Physical Condition Assessment'!C187:I187,'Physical Condition Assessment'!C188:I188,'Physical Condition Assessment'!C189:I189,'Physical Condition Assessment'!C190:I190,'Physical Condition Assessment'!C191:I191,'Physical Condition Assessment'!C192:I192,'Physical Condition Assessment'!C193:I193,'Physical Condition Assessment'!C194:I194)</f>
        <v/>
      </c>
      <c r="C18" s="436"/>
      <c r="D18" s="23"/>
    </row>
    <row r="19" spans="1:15" ht="256" x14ac:dyDescent="0.2">
      <c r="A19" s="23" t="s">
        <v>957</v>
      </c>
      <c r="B19" s="894" t="s">
        <v>958</v>
      </c>
      <c r="C19" s="895"/>
      <c r="D19" s="896"/>
      <c r="E19" s="414" t="s">
        <v>959</v>
      </c>
    </row>
    <row r="20" spans="1:15" ht="192" x14ac:dyDescent="0.2">
      <c r="A20" s="23" t="s">
        <v>960</v>
      </c>
      <c r="B20" s="894"/>
      <c r="C20" s="895"/>
      <c r="D20" s="896"/>
      <c r="E20" s="413" t="s">
        <v>961</v>
      </c>
    </row>
    <row r="22" spans="1:15" ht="32" x14ac:dyDescent="0.2">
      <c r="A22" s="126" t="s">
        <v>962</v>
      </c>
      <c r="B22" s="412" t="s">
        <v>945</v>
      </c>
      <c r="C22" s="127" t="s">
        <v>946</v>
      </c>
      <c r="D22" s="433" t="s">
        <v>963</v>
      </c>
      <c r="E22" s="434" t="s">
        <v>964</v>
      </c>
    </row>
    <row r="23" spans="1:15" x14ac:dyDescent="0.2">
      <c r="A23" s="23" t="s">
        <v>965</v>
      </c>
      <c r="B23" s="432"/>
      <c r="C23" s="64"/>
    </row>
    <row r="24" spans="1:15" x14ac:dyDescent="0.2">
      <c r="A24" s="23" t="s">
        <v>966</v>
      </c>
      <c r="B24" s="432"/>
      <c r="C24" s="64"/>
      <c r="E24" s="36"/>
    </row>
    <row r="25" spans="1:15" x14ac:dyDescent="0.2">
      <c r="A25" s="23" t="s">
        <v>967</v>
      </c>
      <c r="B25" s="432"/>
      <c r="C25" s="64"/>
      <c r="E25" s="36"/>
    </row>
    <row r="26" spans="1:15" x14ac:dyDescent="0.2">
      <c r="A26" s="23" t="s">
        <v>968</v>
      </c>
      <c r="B26" s="432"/>
      <c r="C26" s="64"/>
    </row>
    <row r="27" spans="1:15" x14ac:dyDescent="0.2">
      <c r="A27" s="23" t="s">
        <v>969</v>
      </c>
      <c r="B27" s="432"/>
      <c r="C27" s="64"/>
    </row>
    <row r="28" spans="1:15" x14ac:dyDescent="0.2">
      <c r="A28" s="23" t="s">
        <v>970</v>
      </c>
      <c r="B28" s="432">
        <v>1</v>
      </c>
      <c r="C28" s="64"/>
      <c r="D28" t="s">
        <v>2021</v>
      </c>
    </row>
    <row r="29" spans="1:15" x14ac:dyDescent="0.2">
      <c r="A29" s="23" t="s">
        <v>971</v>
      </c>
      <c r="B29" s="432"/>
      <c r="C29" s="64"/>
    </row>
    <row r="30" spans="1:15" x14ac:dyDescent="0.2">
      <c r="A30" s="23" t="s">
        <v>972</v>
      </c>
      <c r="B30" s="432"/>
      <c r="C30" s="64"/>
      <c r="D30" t="s">
        <v>2022</v>
      </c>
    </row>
    <row r="31" spans="1:15" ht="16" x14ac:dyDescent="0.2">
      <c r="A31" s="23" t="s">
        <v>865</v>
      </c>
      <c r="B31" s="432" t="s">
        <v>973</v>
      </c>
      <c r="C31" s="64"/>
    </row>
    <row r="32" spans="1:15" x14ac:dyDescent="0.2">
      <c r="A32" s="23" t="s">
        <v>974</v>
      </c>
      <c r="B32" s="432"/>
      <c r="C32" s="64"/>
    </row>
    <row r="33" spans="1:6" x14ac:dyDescent="0.2">
      <c r="A33" s="23" t="s">
        <v>975</v>
      </c>
      <c r="B33" s="432"/>
      <c r="C33" s="64"/>
    </row>
    <row r="34" spans="1:6" x14ac:dyDescent="0.2">
      <c r="A34" s="23" t="s">
        <v>976</v>
      </c>
      <c r="B34" s="432"/>
      <c r="C34" s="64"/>
    </row>
    <row r="35" spans="1:6" ht="80" x14ac:dyDescent="0.2">
      <c r="A35" s="23" t="s">
        <v>977</v>
      </c>
      <c r="B35" s="897"/>
      <c r="C35" s="897"/>
      <c r="E35" s="414" t="s">
        <v>978</v>
      </c>
    </row>
    <row r="36" spans="1:6" x14ac:dyDescent="0.2">
      <c r="A36" s="23" t="s">
        <v>979</v>
      </c>
      <c r="B36" s="426">
        <f>'Edu Capacity Calculation'!B3</f>
        <v>0</v>
      </c>
      <c r="C36" s="23"/>
    </row>
    <row r="37" spans="1:6" ht="16" x14ac:dyDescent="0.2">
      <c r="A37" s="23" t="s">
        <v>980</v>
      </c>
      <c r="B37" s="426">
        <f>'Edu Capacity Calculation'!B5</f>
        <v>0</v>
      </c>
      <c r="C37" s="23"/>
      <c r="E37" s="415" t="s">
        <v>981</v>
      </c>
      <c r="F37" s="411"/>
    </row>
    <row r="38" spans="1:6" x14ac:dyDescent="0.2">
      <c r="A38" s="23" t="s">
        <v>982</v>
      </c>
      <c r="B38" s="418" t="e">
        <f>B36/B37</f>
        <v>#DIV/0!</v>
      </c>
      <c r="C38" s="23"/>
    </row>
    <row r="39" spans="1:6" x14ac:dyDescent="0.2">
      <c r="A39" s="23" t="s">
        <v>983</v>
      </c>
      <c r="B39" s="898" t="s">
        <v>984</v>
      </c>
      <c r="C39" s="898"/>
      <c r="E39" s="414"/>
    </row>
    <row r="40" spans="1:6" x14ac:dyDescent="0.2">
      <c r="B40" s="423"/>
      <c r="C40" s="423"/>
    </row>
    <row r="41" spans="1:6" ht="156" customHeight="1" x14ac:dyDescent="0.2">
      <c r="A41" s="23" t="s">
        <v>27</v>
      </c>
      <c r="B41" s="892"/>
      <c r="C41" s="892"/>
      <c r="E41" s="414" t="s">
        <v>985</v>
      </c>
    </row>
    <row r="42" spans="1:6" x14ac:dyDescent="0.2">
      <c r="A42" s="128" t="s">
        <v>986</v>
      </c>
      <c r="B42" s="128"/>
      <c r="C42" s="128"/>
    </row>
    <row r="43" spans="1:6" x14ac:dyDescent="0.2">
      <c r="A43" s="109" t="s">
        <v>396</v>
      </c>
      <c r="B43" s="100">
        <f>'Physical Condition Assessment'!S198</f>
        <v>0</v>
      </c>
      <c r="C43" s="130"/>
    </row>
    <row r="44" spans="1:6" x14ac:dyDescent="0.2">
      <c r="A44" s="109" t="s">
        <v>397</v>
      </c>
      <c r="B44" s="100">
        <f>'Physical Condition Assessment'!S199</f>
        <v>0</v>
      </c>
      <c r="C44" s="130"/>
    </row>
    <row r="45" spans="1:6" x14ac:dyDescent="0.2">
      <c r="A45" s="109" t="s">
        <v>398</v>
      </c>
      <c r="B45" s="100">
        <f>'Physical Condition Assessment'!S200</f>
        <v>0</v>
      </c>
      <c r="C45" s="130"/>
    </row>
    <row r="46" spans="1:6" x14ac:dyDescent="0.2">
      <c r="A46" s="109" t="s">
        <v>987</v>
      </c>
      <c r="B46" s="100">
        <f>'Physical Condition Assessment'!S201</f>
        <v>0</v>
      </c>
      <c r="C46" s="130"/>
    </row>
    <row r="47" spans="1:6" x14ac:dyDescent="0.2">
      <c r="A47" s="109" t="s">
        <v>988</v>
      </c>
      <c r="B47" s="100">
        <f>'Physical Condition Assessment'!S202</f>
        <v>0</v>
      </c>
      <c r="C47" s="130"/>
    </row>
    <row r="48" spans="1:6" x14ac:dyDescent="0.2">
      <c r="A48" s="109" t="s">
        <v>989</v>
      </c>
      <c r="B48" s="100">
        <f>'Physical Condition Assessment'!S203</f>
        <v>0</v>
      </c>
      <c r="C48" s="130"/>
    </row>
    <row r="49" spans="1:5" x14ac:dyDescent="0.2">
      <c r="A49" s="109" t="s">
        <v>402</v>
      </c>
      <c r="B49" s="100">
        <f>'Physical Condition Assessment'!S205</f>
        <v>0</v>
      </c>
      <c r="C49" s="130"/>
    </row>
    <row r="50" spans="1:5" x14ac:dyDescent="0.2">
      <c r="A50" s="109" t="s">
        <v>403</v>
      </c>
      <c r="B50" s="101" t="e">
        <f>'Physical Condition Assessment'!S206</f>
        <v>#DIV/0!</v>
      </c>
      <c r="C50" s="130"/>
    </row>
    <row r="51" spans="1:5" x14ac:dyDescent="0.2">
      <c r="A51" s="128" t="s">
        <v>990</v>
      </c>
      <c r="B51" s="128"/>
      <c r="C51" s="128"/>
    </row>
    <row r="52" spans="1:5" x14ac:dyDescent="0.2">
      <c r="A52" s="129" t="s">
        <v>3</v>
      </c>
      <c r="B52" s="102">
        <f>'Base Information Sheet'!B3</f>
        <v>0</v>
      </c>
      <c r="C52" s="130"/>
    </row>
    <row r="53" spans="1:5" x14ac:dyDescent="0.2">
      <c r="A53" s="129" t="s">
        <v>4</v>
      </c>
      <c r="B53" s="102">
        <f>'Base Information Sheet'!B5</f>
        <v>0</v>
      </c>
      <c r="C53" s="130"/>
    </row>
    <row r="54" spans="1:5" x14ac:dyDescent="0.2">
      <c r="A54" s="129" t="s">
        <v>5</v>
      </c>
      <c r="B54" s="102">
        <f>'Base Information Sheet'!B7</f>
        <v>0</v>
      </c>
      <c r="C54" s="130"/>
    </row>
    <row r="55" spans="1:5" x14ac:dyDescent="0.2">
      <c r="A55" s="129" t="s">
        <v>7</v>
      </c>
      <c r="B55" s="102" t="str">
        <f>'Base Information Sheet'!B11</f>
        <v>Elementary School</v>
      </c>
      <c r="C55" s="130"/>
    </row>
    <row r="56" spans="1:5" x14ac:dyDescent="0.2">
      <c r="A56" s="129" t="s">
        <v>9</v>
      </c>
      <c r="B56" s="102">
        <f>'Base Information Sheet'!B13</f>
        <v>0</v>
      </c>
      <c r="C56" s="130"/>
    </row>
    <row r="57" spans="1:5" x14ac:dyDescent="0.2">
      <c r="A57" s="129" t="s">
        <v>10</v>
      </c>
      <c r="B57" s="102">
        <f>'Base Information Sheet'!B15</f>
        <v>0</v>
      </c>
      <c r="C57" s="130"/>
    </row>
    <row r="58" spans="1:5" x14ac:dyDescent="0.2">
      <c r="A58" s="129" t="s">
        <v>15</v>
      </c>
      <c r="B58" s="102">
        <f>'Base Information Sheet'!B21</f>
        <v>0</v>
      </c>
      <c r="C58" s="130"/>
    </row>
    <row r="59" spans="1:5" x14ac:dyDescent="0.2">
      <c r="A59" s="129" t="s">
        <v>16</v>
      </c>
      <c r="B59" s="102">
        <f>'Base Information Sheet'!B23</f>
        <v>0</v>
      </c>
      <c r="C59" s="130"/>
      <c r="E59" s="899" t="s">
        <v>991</v>
      </c>
    </row>
    <row r="60" spans="1:5" x14ac:dyDescent="0.2">
      <c r="A60" s="129" t="s">
        <v>18</v>
      </c>
      <c r="B60" s="102">
        <f>'Base Information Sheet'!B26</f>
        <v>0</v>
      </c>
      <c r="C60" s="130"/>
      <c r="E60" s="900"/>
    </row>
    <row r="61" spans="1:5" x14ac:dyDescent="0.2">
      <c r="A61" s="129" t="s">
        <v>992</v>
      </c>
      <c r="B61" s="424"/>
      <c r="C61" s="425"/>
      <c r="E61" s="462" t="s">
        <v>993</v>
      </c>
    </row>
    <row r="62" spans="1:5" x14ac:dyDescent="0.2">
      <c r="A62" s="889" t="s">
        <v>994</v>
      </c>
      <c r="B62" s="102">
        <f>'Renovations, Additions &amp; Prtbls'!A22</f>
        <v>0</v>
      </c>
      <c r="C62" s="102">
        <f>'Renovations, Additions &amp; Prtbls'!B22</f>
        <v>0</v>
      </c>
    </row>
    <row r="63" spans="1:5" x14ac:dyDescent="0.2">
      <c r="A63" s="890"/>
      <c r="B63" s="102">
        <f>'Renovations, Additions &amp; Prtbls'!A23</f>
        <v>0</v>
      </c>
      <c r="C63" s="102">
        <f>'Renovations, Additions &amp; Prtbls'!B23</f>
        <v>0</v>
      </c>
    </row>
    <row r="64" spans="1:5" x14ac:dyDescent="0.2">
      <c r="A64" s="890"/>
      <c r="B64" s="102">
        <f>'Renovations, Additions &amp; Prtbls'!A24</f>
        <v>0</v>
      </c>
      <c r="C64" s="102">
        <f>'Renovations, Additions &amp; Prtbls'!B24</f>
        <v>0</v>
      </c>
    </row>
    <row r="65" spans="1:13" x14ac:dyDescent="0.2">
      <c r="A65" s="890"/>
      <c r="B65" s="102">
        <f>'Renovations, Additions &amp; Prtbls'!A25</f>
        <v>0</v>
      </c>
      <c r="C65" s="102">
        <f>'Renovations, Additions &amp; Prtbls'!B25</f>
        <v>0</v>
      </c>
      <c r="G65" s="3"/>
      <c r="H65" s="1"/>
      <c r="I65" s="21"/>
      <c r="J65" s="1"/>
      <c r="K65" s="21"/>
      <c r="L65" s="109"/>
      <c r="M65" s="110"/>
    </row>
    <row r="66" spans="1:13" x14ac:dyDescent="0.2">
      <c r="A66" s="890"/>
      <c r="B66" s="102">
        <f>'Renovations, Additions &amp; Prtbls'!A26</f>
        <v>0</v>
      </c>
      <c r="C66" s="102">
        <f>'Renovations, Additions &amp; Prtbls'!B26</f>
        <v>0</v>
      </c>
      <c r="G66" s="3"/>
      <c r="H66" s="1"/>
      <c r="I66" s="21"/>
      <c r="J66" s="1"/>
      <c r="K66" s="21"/>
      <c r="L66" s="109"/>
      <c r="M66" s="110"/>
    </row>
    <row r="67" spans="1:13" x14ac:dyDescent="0.2">
      <c r="A67" s="891"/>
      <c r="B67" s="102">
        <f>'Renovations, Additions &amp; Prtbls'!A27</f>
        <v>0</v>
      </c>
      <c r="C67" s="102">
        <f>'Renovations, Additions &amp; Prtbls'!B27</f>
        <v>0</v>
      </c>
      <c r="G67" s="3"/>
      <c r="H67" s="1"/>
      <c r="I67" s="21"/>
      <c r="J67" s="1"/>
      <c r="K67" s="21"/>
      <c r="L67" s="109"/>
      <c r="M67" s="110"/>
    </row>
    <row r="68" spans="1:13" x14ac:dyDescent="0.2">
      <c r="G68" s="6"/>
      <c r="H68" s="6"/>
      <c r="I68" s="6"/>
      <c r="J68" s="6"/>
      <c r="K68" s="6"/>
      <c r="L68" s="6"/>
      <c r="M68" s="110"/>
    </row>
    <row r="69" spans="1:13" x14ac:dyDescent="0.2">
      <c r="G69" s="6"/>
      <c r="H69" s="6"/>
      <c r="I69" s="6"/>
      <c r="J69" s="6"/>
      <c r="K69" s="6"/>
      <c r="L69" s="6"/>
      <c r="M69" s="110"/>
    </row>
    <row r="70" spans="1:13" x14ac:dyDescent="0.2">
      <c r="G70" s="6"/>
      <c r="H70" s="6"/>
      <c r="I70" s="6"/>
      <c r="J70" s="6"/>
      <c r="K70" s="6"/>
      <c r="L70" s="6"/>
      <c r="M70" s="110"/>
    </row>
    <row r="71" spans="1:13" x14ac:dyDescent="0.2">
      <c r="G71" s="3"/>
      <c r="H71" s="1"/>
      <c r="I71" s="21"/>
      <c r="J71" s="1"/>
      <c r="K71" s="21"/>
      <c r="L71" s="109"/>
      <c r="M71" s="110"/>
    </row>
    <row r="72" spans="1:13" x14ac:dyDescent="0.2">
      <c r="G72" s="3"/>
      <c r="H72" s="1"/>
      <c r="I72" s="21"/>
      <c r="J72" s="1"/>
      <c r="K72" s="3"/>
      <c r="L72" s="109"/>
      <c r="M72" s="112"/>
    </row>
    <row r="73" spans="1:13" x14ac:dyDescent="0.2">
      <c r="G73" s="3"/>
      <c r="H73" s="1"/>
      <c r="I73" s="3"/>
      <c r="J73" s="1"/>
      <c r="K73" s="3"/>
      <c r="L73" s="109"/>
      <c r="M73" s="111"/>
    </row>
  </sheetData>
  <mergeCells count="9">
    <mergeCell ref="E6:E7"/>
    <mergeCell ref="A62:A67"/>
    <mergeCell ref="B41:C41"/>
    <mergeCell ref="A1:C1"/>
    <mergeCell ref="B19:D19"/>
    <mergeCell ref="B20:D20"/>
    <mergeCell ref="B35:C35"/>
    <mergeCell ref="B39:C39"/>
    <mergeCell ref="E59:E60"/>
  </mergeCells>
  <dataValidations disablePrompts="1" count="1">
    <dataValidation type="list" allowBlank="1" showInputMessage="1" showErrorMessage="1" sqref="C23:C34" xr:uid="{6C0BF54B-A465-4F87-A09C-4FD25BED8B83}">
      <formula1>$H$4:$H$6</formula1>
    </dataValidation>
  </dataValidations>
  <pageMargins left="0.7" right="0.7" top="0.75" bottom="0.75" header="0.3" footer="0.3"/>
  <pageSetup scale="73" orientation="portrait" horizontalDpi="360" verticalDpi="360" r:id="rId1"/>
  <headerFooter>
    <oddHeader>&amp;C&amp;"-,Bold"&amp;A</oddHeader>
    <oddFooter>&amp;LPage &amp;P</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F06B8-4C13-4501-850B-786692A7CFB4}">
  <sheetPr codeName="Sheet10"/>
  <dimension ref="A1:U463"/>
  <sheetViews>
    <sheetView topLeftCell="A158" zoomScale="70" zoomScaleNormal="70" workbookViewId="0">
      <selection activeCell="C10" sqref="C10"/>
    </sheetView>
  </sheetViews>
  <sheetFormatPr baseColWidth="10" defaultColWidth="9.1640625" defaultRowHeight="15" x14ac:dyDescent="0.2"/>
  <cols>
    <col min="1" max="1" width="34.83203125" style="103" customWidth="1"/>
    <col min="2" max="13" width="16.83203125" style="103" customWidth="1"/>
    <col min="14" max="21" width="9.1640625" style="103"/>
  </cols>
  <sheetData>
    <row r="1" spans="1:21" ht="22.5" customHeight="1" thickBot="1" x14ac:dyDescent="0.25">
      <c r="A1" s="901" t="s">
        <v>995</v>
      </c>
      <c r="B1" s="902"/>
      <c r="C1" s="902"/>
      <c r="D1" s="902"/>
      <c r="E1" s="902"/>
      <c r="F1" s="903"/>
      <c r="H1" s="419" t="s">
        <v>996</v>
      </c>
    </row>
    <row r="2" spans="1:21" ht="17" thickBot="1" x14ac:dyDescent="0.25">
      <c r="E2" s="158" t="s">
        <v>997</v>
      </c>
      <c r="F2" s="307" t="s">
        <v>998</v>
      </c>
    </row>
    <row r="3" spans="1:21" ht="32" x14ac:dyDescent="0.2">
      <c r="A3" s="324" t="s">
        <v>999</v>
      </c>
      <c r="B3" s="323"/>
      <c r="C3" s="322" t="s">
        <v>1000</v>
      </c>
      <c r="E3" s="310"/>
      <c r="F3" s="192"/>
      <c r="G3" s="310"/>
    </row>
    <row r="4" spans="1:21" ht="32" x14ac:dyDescent="0.2">
      <c r="A4" s="321" t="s">
        <v>1001</v>
      </c>
      <c r="B4" s="234"/>
      <c r="C4" s="320" t="s">
        <v>1000</v>
      </c>
      <c r="E4" s="310"/>
      <c r="F4" s="192"/>
      <c r="G4" s="310"/>
    </row>
    <row r="5" spans="1:21" ht="65" thickBot="1" x14ac:dyDescent="0.25">
      <c r="A5" s="319" t="s">
        <v>1002</v>
      </c>
      <c r="B5" s="318"/>
      <c r="C5" s="317" t="s">
        <v>1003</v>
      </c>
      <c r="D5" s="904" t="s">
        <v>1004</v>
      </c>
      <c r="E5" s="905"/>
      <c r="F5" s="905"/>
      <c r="G5" s="905"/>
    </row>
    <row r="6" spans="1:21" x14ac:dyDescent="0.2">
      <c r="B6" s="316"/>
      <c r="C6" s="316"/>
      <c r="D6" s="316"/>
      <c r="F6" s="315"/>
      <c r="G6" s="310"/>
    </row>
    <row r="7" spans="1:21" s="99" customFormat="1" ht="20" thickBot="1" x14ac:dyDescent="0.25">
      <c r="A7" s="229" t="s">
        <v>1005</v>
      </c>
      <c r="B7" s="314"/>
      <c r="C7" s="314"/>
      <c r="D7" s="314"/>
      <c r="E7" s="106"/>
      <c r="F7" s="313"/>
      <c r="G7" s="312"/>
      <c r="H7" s="106"/>
      <c r="I7" s="106"/>
      <c r="J7" s="106"/>
      <c r="K7" s="106"/>
      <c r="L7" s="106"/>
      <c r="M7" s="106"/>
      <c r="N7" s="106"/>
      <c r="O7" s="106"/>
      <c r="P7" s="106"/>
      <c r="Q7" s="106"/>
      <c r="R7" s="106"/>
      <c r="S7" s="106"/>
      <c r="T7" s="106"/>
      <c r="U7" s="106"/>
    </row>
    <row r="8" spans="1:21" ht="17" thickBot="1" x14ac:dyDescent="0.25">
      <c r="A8" s="195"/>
      <c r="C8" s="195"/>
      <c r="E8" s="310"/>
      <c r="F8" s="311" t="s">
        <v>1006</v>
      </c>
      <c r="G8" s="310"/>
      <c r="H8" s="906" t="s">
        <v>1007</v>
      </c>
      <c r="I8" s="906"/>
      <c r="J8" s="906" t="s">
        <v>1008</v>
      </c>
      <c r="K8" s="906"/>
    </row>
    <row r="9" spans="1:21" ht="35.25" customHeight="1" thickBot="1" x14ac:dyDescent="0.25">
      <c r="A9" s="269" t="s">
        <v>1009</v>
      </c>
      <c r="B9" s="245" t="s">
        <v>1010</v>
      </c>
      <c r="C9" s="161" t="s">
        <v>999</v>
      </c>
      <c r="D9" s="245" t="s">
        <v>1011</v>
      </c>
      <c r="E9" s="245" t="s">
        <v>1012</v>
      </c>
      <c r="F9" s="309" t="s">
        <v>980</v>
      </c>
      <c r="G9" s="245" t="s">
        <v>1013</v>
      </c>
      <c r="H9" s="245" t="s">
        <v>1014</v>
      </c>
      <c r="I9" s="161" t="s">
        <v>1015</v>
      </c>
      <c r="J9" s="245" t="s">
        <v>1014</v>
      </c>
      <c r="K9" s="169" t="s">
        <v>1015</v>
      </c>
    </row>
    <row r="10" spans="1:21" ht="35.25" customHeight="1" x14ac:dyDescent="0.2">
      <c r="A10" s="907" t="s">
        <v>1016</v>
      </c>
      <c r="B10" s="308" t="s">
        <v>1017</v>
      </c>
      <c r="C10" s="307">
        <f>B3</f>
        <v>0</v>
      </c>
      <c r="D10" s="305">
        <f>B315*22</f>
        <v>22</v>
      </c>
      <c r="E10" s="306">
        <f>C10/D10</f>
        <v>0</v>
      </c>
      <c r="F10" s="305">
        <f>D10*0.9</f>
        <v>19.8</v>
      </c>
      <c r="G10" s="304">
        <f>C10/F10</f>
        <v>0</v>
      </c>
      <c r="H10" s="302"/>
      <c r="I10" s="302"/>
      <c r="J10" s="303"/>
      <c r="K10" s="302"/>
    </row>
    <row r="11" spans="1:21" ht="35.25" customHeight="1" x14ac:dyDescent="0.2">
      <c r="A11" s="908"/>
      <c r="B11" s="301" t="s">
        <v>1018</v>
      </c>
      <c r="C11" s="166">
        <f>B3</f>
        <v>0</v>
      </c>
      <c r="D11" s="299">
        <f>SUM(D22:D41)/36+SUM(D315/32)</f>
        <v>0</v>
      </c>
      <c r="E11" s="300" t="e">
        <f>C11/D11</f>
        <v>#DIV/0!</v>
      </c>
      <c r="F11" s="299">
        <f>D11*0.9</f>
        <v>0</v>
      </c>
      <c r="G11" s="298" t="e">
        <f>C11/F11</f>
        <v>#DIV/0!</v>
      </c>
      <c r="H11" s="302"/>
      <c r="I11" s="302"/>
      <c r="J11" s="303"/>
      <c r="K11" s="302"/>
    </row>
    <row r="12" spans="1:21" ht="35.25" customHeight="1" x14ac:dyDescent="0.2">
      <c r="A12" s="909" t="s">
        <v>1019</v>
      </c>
      <c r="B12" s="301" t="s">
        <v>1017</v>
      </c>
      <c r="C12" s="166">
        <f>B3</f>
        <v>0</v>
      </c>
      <c r="D12" s="299">
        <f>B315*25</f>
        <v>25</v>
      </c>
      <c r="E12" s="300">
        <f>C12/D12</f>
        <v>0</v>
      </c>
      <c r="F12" s="299">
        <f>D12*0.9</f>
        <v>22.5</v>
      </c>
      <c r="G12" s="298">
        <f>C12/F12</f>
        <v>0</v>
      </c>
      <c r="H12" s="166">
        <f>SUM(B253:B278)</f>
        <v>0</v>
      </c>
      <c r="I12" s="166">
        <f>SUM(B280:B305)</f>
        <v>0</v>
      </c>
      <c r="J12" s="166">
        <f>ROUND(F12*0.007353,0)</f>
        <v>0</v>
      </c>
      <c r="K12" s="166">
        <f>ROUND(F12*0.007353,0)</f>
        <v>0</v>
      </c>
    </row>
    <row r="13" spans="1:21" ht="35.25" customHeight="1" x14ac:dyDescent="0.2">
      <c r="A13" s="908"/>
      <c r="B13" s="301" t="s">
        <v>1018</v>
      </c>
      <c r="C13" s="166">
        <f>B3</f>
        <v>0</v>
      </c>
      <c r="D13" s="299">
        <f>D315/28</f>
        <v>0</v>
      </c>
      <c r="E13" s="300" t="e">
        <f>C13/D13</f>
        <v>#DIV/0!</v>
      </c>
      <c r="F13" s="299">
        <f>D13*0.9</f>
        <v>0</v>
      </c>
      <c r="G13" s="298" t="e">
        <f>C13/F13</f>
        <v>#DIV/0!</v>
      </c>
      <c r="H13" s="166">
        <f>SUM(B253:B278)</f>
        <v>0</v>
      </c>
      <c r="I13" s="166">
        <f>SUM(B280:B305)</f>
        <v>0</v>
      </c>
      <c r="J13" s="166">
        <f>ROUND(F13*0.007353,0)</f>
        <v>0</v>
      </c>
      <c r="K13" s="166">
        <f>ROUND(F13*0.007353,0)</f>
        <v>0</v>
      </c>
    </row>
    <row r="14" spans="1:21" ht="17.25" customHeight="1" x14ac:dyDescent="0.2">
      <c r="A14" s="297" t="s">
        <v>2015</v>
      </c>
      <c r="B14" s="295"/>
      <c r="C14" s="291"/>
      <c r="D14" s="293"/>
      <c r="E14" s="294"/>
      <c r="F14" s="293"/>
      <c r="G14" s="292"/>
      <c r="H14" s="291"/>
      <c r="I14" s="291"/>
      <c r="J14" s="291"/>
      <c r="K14" s="291"/>
      <c r="L14" s="291"/>
      <c r="M14" s="291"/>
    </row>
    <row r="15" spans="1:21" ht="17.25" customHeight="1" x14ac:dyDescent="0.2">
      <c r="A15" s="296" t="s">
        <v>2016</v>
      </c>
      <c r="B15" s="295"/>
      <c r="C15" s="291"/>
      <c r="D15" s="293"/>
      <c r="E15" s="294"/>
      <c r="F15" s="293"/>
      <c r="G15" s="292"/>
      <c r="H15" s="291"/>
      <c r="I15" s="291"/>
      <c r="J15" s="291"/>
      <c r="K15" s="291"/>
      <c r="L15" s="291"/>
      <c r="M15" s="291"/>
    </row>
    <row r="16" spans="1:21" s="502" customFormat="1" ht="17.25" customHeight="1" x14ac:dyDescent="0.2">
      <c r="A16" s="539"/>
      <c r="B16" s="567"/>
      <c r="C16" s="562"/>
      <c r="D16" s="568"/>
      <c r="E16" s="569"/>
      <c r="F16" s="568"/>
      <c r="G16" s="570"/>
      <c r="H16" s="562"/>
      <c r="I16" s="562"/>
      <c r="J16" s="562"/>
      <c r="K16" s="562"/>
      <c r="L16" s="562"/>
      <c r="M16" s="562"/>
      <c r="N16" s="562"/>
      <c r="O16" s="562"/>
      <c r="P16" s="562"/>
      <c r="Q16" s="562"/>
      <c r="R16" s="562"/>
      <c r="S16" s="562"/>
      <c r="T16" s="562"/>
      <c r="U16" s="562"/>
    </row>
    <row r="17" spans="1:21" s="502" customFormat="1" ht="17.25" customHeight="1" x14ac:dyDescent="0.2">
      <c r="A17" s="539"/>
      <c r="B17" s="567"/>
      <c r="C17" s="562"/>
      <c r="D17" s="568"/>
      <c r="E17" s="569"/>
      <c r="F17" s="568"/>
      <c r="G17" s="570"/>
      <c r="H17" s="562"/>
      <c r="I17" s="562"/>
      <c r="J17" s="562"/>
      <c r="K17" s="562"/>
      <c r="L17" s="562"/>
      <c r="M17" s="562"/>
      <c r="N17" s="562"/>
      <c r="O17" s="562"/>
      <c r="P17" s="562"/>
      <c r="Q17" s="562"/>
      <c r="R17" s="562"/>
      <c r="S17" s="562"/>
      <c r="T17" s="562"/>
      <c r="U17" s="562"/>
    </row>
    <row r="18" spans="1:21" x14ac:dyDescent="0.2">
      <c r="B18" s="286"/>
      <c r="C18" s="286"/>
      <c r="D18" s="286"/>
      <c r="E18" s="289"/>
      <c r="F18" s="290"/>
      <c r="G18" s="289"/>
      <c r="H18" s="286"/>
    </row>
    <row r="19" spans="1:21" s="99" customFormat="1" ht="20" thickBot="1" x14ac:dyDescent="0.25">
      <c r="A19" s="288" t="s">
        <v>1020</v>
      </c>
      <c r="B19" s="106"/>
      <c r="C19" s="287"/>
      <c r="D19" s="106"/>
      <c r="E19" s="106"/>
      <c r="F19" s="106"/>
      <c r="G19" s="106"/>
      <c r="H19" s="106"/>
      <c r="I19" s="106"/>
      <c r="J19" s="106"/>
      <c r="K19" s="106"/>
      <c r="L19" s="106"/>
      <c r="M19" s="106"/>
      <c r="N19" s="106"/>
      <c r="O19" s="106"/>
      <c r="P19" s="106"/>
      <c r="Q19" s="106"/>
      <c r="R19" s="106"/>
      <c r="S19" s="106"/>
      <c r="T19" s="106"/>
      <c r="U19" s="106"/>
    </row>
    <row r="20" spans="1:21" ht="33" thickBot="1" x14ac:dyDescent="0.25">
      <c r="A20" s="195"/>
      <c r="C20" s="286" t="s">
        <v>1021</v>
      </c>
    </row>
    <row r="21" spans="1:21" ht="31.5" customHeight="1" thickBot="1" x14ac:dyDescent="0.25">
      <c r="A21" s="285" t="s">
        <v>1022</v>
      </c>
      <c r="B21" s="284" t="s">
        <v>1023</v>
      </c>
      <c r="C21" s="283" t="s">
        <v>1024</v>
      </c>
      <c r="D21" s="282" t="s">
        <v>1025</v>
      </c>
      <c r="E21" s="242" t="s">
        <v>1026</v>
      </c>
      <c r="G21" s="267"/>
      <c r="H21" s="267"/>
      <c r="J21" s="150"/>
      <c r="K21" s="150"/>
      <c r="L21" s="150"/>
      <c r="M21" s="150"/>
    </row>
    <row r="22" spans="1:21" ht="18.75" customHeight="1" x14ac:dyDescent="0.2">
      <c r="A22" s="281"/>
      <c r="B22" s="280"/>
      <c r="C22" s="280"/>
      <c r="D22" s="280"/>
      <c r="J22" s="150"/>
      <c r="K22" s="150"/>
      <c r="L22" s="150"/>
      <c r="M22" s="150"/>
    </row>
    <row r="23" spans="1:21" ht="17.25" customHeight="1" x14ac:dyDescent="0.2">
      <c r="A23" s="279"/>
      <c r="B23" s="277"/>
      <c r="C23" s="277"/>
      <c r="D23" s="277"/>
      <c r="J23" s="150"/>
      <c r="K23" s="150"/>
      <c r="L23" s="150"/>
      <c r="M23" s="150"/>
    </row>
    <row r="24" spans="1:21" x14ac:dyDescent="0.2">
      <c r="A24" s="278"/>
      <c r="B24" s="277"/>
      <c r="C24" s="277"/>
      <c r="D24" s="277"/>
      <c r="J24" s="150"/>
      <c r="K24" s="150"/>
      <c r="L24" s="150"/>
      <c r="M24" s="150"/>
    </row>
    <row r="25" spans="1:21" x14ac:dyDescent="0.2">
      <c r="A25" s="278"/>
      <c r="B25" s="277"/>
      <c r="C25" s="277"/>
      <c r="D25" s="277"/>
      <c r="J25" s="150"/>
      <c r="K25" s="150"/>
      <c r="L25" s="150"/>
      <c r="M25" s="150"/>
    </row>
    <row r="26" spans="1:21" x14ac:dyDescent="0.2">
      <c r="A26" s="278"/>
      <c r="B26" s="277"/>
      <c r="C26" s="277"/>
      <c r="D26" s="277"/>
      <c r="J26" s="150"/>
      <c r="K26" s="150"/>
      <c r="L26" s="150"/>
      <c r="M26" s="150"/>
    </row>
    <row r="27" spans="1:21" x14ac:dyDescent="0.2">
      <c r="A27" s="278"/>
      <c r="B27" s="277"/>
      <c r="C27" s="277"/>
      <c r="D27" s="277"/>
      <c r="J27" s="150"/>
      <c r="K27" s="150"/>
      <c r="L27" s="150"/>
      <c r="M27" s="150"/>
    </row>
    <row r="28" spans="1:21" ht="224" x14ac:dyDescent="0.2">
      <c r="A28" s="278"/>
      <c r="B28" s="277">
        <v>1</v>
      </c>
      <c r="C28" s="277"/>
      <c r="D28" s="277" t="s">
        <v>2021</v>
      </c>
      <c r="J28" s="150"/>
      <c r="K28" s="150"/>
      <c r="L28" s="150"/>
      <c r="M28" s="150"/>
    </row>
    <row r="29" spans="1:21" x14ac:dyDescent="0.2">
      <c r="A29" s="278"/>
      <c r="B29" s="277"/>
      <c r="C29" s="277"/>
      <c r="D29" s="277"/>
      <c r="J29" s="150"/>
      <c r="K29" s="150"/>
      <c r="L29" s="150"/>
      <c r="M29" s="150"/>
    </row>
    <row r="30" spans="1:21" ht="64" x14ac:dyDescent="0.2">
      <c r="A30" s="172"/>
      <c r="B30" s="277"/>
      <c r="C30" s="277"/>
      <c r="D30" s="277" t="s">
        <v>2022</v>
      </c>
      <c r="J30" s="150"/>
      <c r="K30" s="150"/>
      <c r="L30" s="150"/>
      <c r="M30" s="150"/>
    </row>
    <row r="31" spans="1:21" x14ac:dyDescent="0.2">
      <c r="A31" s="172"/>
      <c r="B31" s="277"/>
      <c r="C31" s="277"/>
      <c r="D31" s="277"/>
      <c r="J31" s="150"/>
      <c r="K31" s="150"/>
      <c r="L31" s="150"/>
      <c r="M31" s="150"/>
    </row>
    <row r="32" spans="1:21" x14ac:dyDescent="0.2">
      <c r="A32" s="172"/>
      <c r="B32" s="277"/>
      <c r="C32" s="277"/>
      <c r="D32" s="277"/>
      <c r="J32" s="150"/>
      <c r="K32" s="150"/>
      <c r="L32" s="150"/>
      <c r="M32" s="150"/>
    </row>
    <row r="33" spans="1:13" s="103" customFormat="1" x14ac:dyDescent="0.2">
      <c r="A33" s="172"/>
      <c r="B33" s="277"/>
      <c r="C33" s="277"/>
      <c r="D33" s="277"/>
      <c r="J33" s="150"/>
      <c r="K33" s="150"/>
      <c r="L33" s="150"/>
      <c r="M33" s="150"/>
    </row>
    <row r="34" spans="1:13" s="103" customFormat="1" x14ac:dyDescent="0.2">
      <c r="A34" s="172"/>
      <c r="B34" s="277"/>
      <c r="C34" s="277"/>
      <c r="D34" s="277"/>
      <c r="J34" s="150"/>
      <c r="K34" s="150"/>
      <c r="L34" s="150"/>
      <c r="M34" s="150"/>
    </row>
    <row r="35" spans="1:13" s="103" customFormat="1" x14ac:dyDescent="0.2">
      <c r="A35" s="172"/>
      <c r="B35" s="277"/>
      <c r="C35" s="277"/>
      <c r="D35" s="277"/>
      <c r="J35" s="150"/>
      <c r="K35" s="150"/>
      <c r="L35" s="150"/>
      <c r="M35" s="150"/>
    </row>
    <row r="36" spans="1:13" s="103" customFormat="1" x14ac:dyDescent="0.2">
      <c r="A36" s="172"/>
      <c r="B36" s="277"/>
      <c r="C36" s="277"/>
      <c r="D36" s="277"/>
      <c r="J36" s="150"/>
      <c r="K36" s="150"/>
      <c r="L36" s="150"/>
      <c r="M36" s="150"/>
    </row>
    <row r="37" spans="1:13" s="103" customFormat="1" x14ac:dyDescent="0.2">
      <c r="A37" s="172"/>
      <c r="B37" s="277"/>
      <c r="C37" s="277"/>
      <c r="D37" s="277"/>
      <c r="J37" s="150"/>
      <c r="K37" s="150"/>
      <c r="L37" s="150"/>
      <c r="M37" s="150"/>
    </row>
    <row r="38" spans="1:13" s="103" customFormat="1" x14ac:dyDescent="0.2">
      <c r="A38" s="172"/>
      <c r="B38" s="277"/>
      <c r="C38" s="277"/>
      <c r="D38" s="277"/>
      <c r="J38" s="150"/>
      <c r="K38" s="150"/>
      <c r="L38" s="150"/>
      <c r="M38" s="150"/>
    </row>
    <row r="39" spans="1:13" s="103" customFormat="1" x14ac:dyDescent="0.2">
      <c r="A39" s="172"/>
      <c r="B39" s="277"/>
      <c r="C39" s="277"/>
      <c r="D39" s="277"/>
      <c r="J39" s="150"/>
      <c r="K39" s="150"/>
      <c r="L39" s="150"/>
      <c r="M39" s="150"/>
    </row>
    <row r="40" spans="1:13" s="103" customFormat="1" x14ac:dyDescent="0.2">
      <c r="A40" s="172"/>
      <c r="B40" s="277"/>
      <c r="C40" s="277"/>
      <c r="D40" s="276"/>
      <c r="J40" s="150"/>
      <c r="K40" s="150"/>
      <c r="L40" s="150"/>
      <c r="M40" s="150"/>
    </row>
    <row r="41" spans="1:13" s="103" customFormat="1" ht="16" thickBot="1" x14ac:dyDescent="0.25">
      <c r="A41" s="172"/>
      <c r="B41" s="277"/>
      <c r="C41" s="277"/>
      <c r="D41" s="276"/>
      <c r="J41" s="150"/>
      <c r="K41" s="150"/>
      <c r="L41" s="150"/>
      <c r="M41" s="150"/>
    </row>
    <row r="42" spans="1:13" s="103" customFormat="1" ht="17" thickBot="1" x14ac:dyDescent="0.25">
      <c r="A42" s="271" t="s">
        <v>1027</v>
      </c>
      <c r="B42" s="275" t="s">
        <v>1023</v>
      </c>
      <c r="C42" s="245" t="s">
        <v>1028</v>
      </c>
      <c r="D42" s="251" t="s">
        <v>1029</v>
      </c>
      <c r="E42" s="242" t="s">
        <v>1026</v>
      </c>
    </row>
    <row r="43" spans="1:13" s="103" customFormat="1" x14ac:dyDescent="0.2">
      <c r="A43" s="195"/>
      <c r="B43" s="158"/>
      <c r="C43" s="237"/>
      <c r="D43" s="158"/>
    </row>
    <row r="44" spans="1:13" s="103" customFormat="1" x14ac:dyDescent="0.2">
      <c r="A44" s="195"/>
      <c r="B44" s="158"/>
      <c r="C44" s="235"/>
      <c r="D44" s="158"/>
    </row>
    <row r="45" spans="1:13" s="103" customFormat="1" x14ac:dyDescent="0.2">
      <c r="A45" s="195"/>
      <c r="B45" s="158"/>
      <c r="C45" s="235"/>
      <c r="D45" s="158"/>
    </row>
    <row r="46" spans="1:13" s="103" customFormat="1" x14ac:dyDescent="0.2">
      <c r="A46" s="195"/>
      <c r="B46" s="158"/>
      <c r="C46" s="235"/>
      <c r="D46" s="158"/>
    </row>
    <row r="47" spans="1:13" s="103" customFormat="1" x14ac:dyDescent="0.2">
      <c r="A47" s="195"/>
      <c r="B47" s="158"/>
      <c r="C47" s="235"/>
      <c r="D47" s="158"/>
    </row>
    <row r="48" spans="1:13" s="103" customFormat="1" x14ac:dyDescent="0.2">
      <c r="A48" s="195"/>
      <c r="B48" s="158"/>
      <c r="C48" s="235"/>
      <c r="D48" s="158"/>
    </row>
    <row r="49" spans="1:4" s="103" customFormat="1" x14ac:dyDescent="0.2">
      <c r="A49" s="195"/>
      <c r="B49" s="158"/>
      <c r="C49" s="235"/>
      <c r="D49" s="158"/>
    </row>
    <row r="50" spans="1:4" s="103" customFormat="1" x14ac:dyDescent="0.2">
      <c r="A50" s="195"/>
      <c r="B50" s="158"/>
      <c r="C50" s="235"/>
      <c r="D50" s="158"/>
    </row>
    <row r="51" spans="1:4" s="103" customFormat="1" x14ac:dyDescent="0.2">
      <c r="A51" s="195"/>
      <c r="B51" s="158"/>
      <c r="C51" s="235"/>
      <c r="D51" s="158"/>
    </row>
    <row r="52" spans="1:4" s="103" customFormat="1" x14ac:dyDescent="0.2">
      <c r="A52" s="195"/>
      <c r="B52" s="158"/>
      <c r="C52" s="235"/>
      <c r="D52" s="158"/>
    </row>
    <row r="53" spans="1:4" s="103" customFormat="1" x14ac:dyDescent="0.2">
      <c r="A53" s="195"/>
      <c r="B53" s="158"/>
      <c r="C53" s="235"/>
      <c r="D53" s="158"/>
    </row>
    <row r="54" spans="1:4" s="103" customFormat="1" x14ac:dyDescent="0.2">
      <c r="A54" s="195"/>
      <c r="B54" s="158"/>
      <c r="C54" s="235"/>
      <c r="D54" s="158"/>
    </row>
    <row r="55" spans="1:4" s="103" customFormat="1" x14ac:dyDescent="0.2">
      <c r="A55" s="195"/>
      <c r="B55" s="158"/>
      <c r="C55" s="235"/>
      <c r="D55" s="158"/>
    </row>
    <row r="56" spans="1:4" s="103" customFormat="1" x14ac:dyDescent="0.2">
      <c r="A56" s="195"/>
      <c r="B56" s="158"/>
      <c r="C56" s="235"/>
      <c r="D56" s="158"/>
    </row>
    <row r="57" spans="1:4" s="103" customFormat="1" x14ac:dyDescent="0.2">
      <c r="A57" s="195"/>
      <c r="B57" s="158"/>
      <c r="C57" s="235"/>
      <c r="D57" s="158"/>
    </row>
    <row r="58" spans="1:4" s="103" customFormat="1" x14ac:dyDescent="0.2">
      <c r="A58" s="195"/>
      <c r="B58" s="158"/>
      <c r="C58" s="235"/>
      <c r="D58" s="158"/>
    </row>
    <row r="59" spans="1:4" s="103" customFormat="1" x14ac:dyDescent="0.2">
      <c r="A59" s="195"/>
      <c r="B59" s="158"/>
      <c r="C59" s="235"/>
      <c r="D59" s="158"/>
    </row>
    <row r="60" spans="1:4" s="103" customFormat="1" x14ac:dyDescent="0.2">
      <c r="A60" s="195"/>
      <c r="B60" s="158"/>
      <c r="C60" s="235"/>
      <c r="D60" s="158"/>
    </row>
    <row r="61" spans="1:4" s="103" customFormat="1" x14ac:dyDescent="0.2">
      <c r="A61" s="195"/>
      <c r="B61" s="158"/>
      <c r="C61" s="235"/>
      <c r="D61" s="158"/>
    </row>
    <row r="62" spans="1:4" s="103" customFormat="1" x14ac:dyDescent="0.2">
      <c r="A62" s="195"/>
      <c r="B62" s="158"/>
      <c r="C62" s="235"/>
      <c r="D62" s="158"/>
    </row>
    <row r="63" spans="1:4" s="103" customFormat="1" x14ac:dyDescent="0.2">
      <c r="A63" s="195"/>
      <c r="B63" s="158"/>
      <c r="C63" s="235"/>
      <c r="D63" s="158"/>
    </row>
    <row r="64" spans="1:4" s="103" customFormat="1" x14ac:dyDescent="0.2">
      <c r="A64" s="195"/>
      <c r="B64" s="158"/>
      <c r="C64" s="235"/>
      <c r="D64" s="158"/>
    </row>
    <row r="65" spans="1:4" s="103" customFormat="1" x14ac:dyDescent="0.2">
      <c r="A65" s="195"/>
      <c r="B65" s="158"/>
      <c r="C65" s="235"/>
      <c r="D65" s="158"/>
    </row>
    <row r="66" spans="1:4" s="103" customFormat="1" x14ac:dyDescent="0.2">
      <c r="A66" s="195"/>
      <c r="B66" s="158"/>
      <c r="C66" s="235"/>
      <c r="D66" s="158"/>
    </row>
    <row r="67" spans="1:4" s="103" customFormat="1" x14ac:dyDescent="0.2">
      <c r="A67" s="195"/>
      <c r="B67" s="158"/>
      <c r="C67" s="235"/>
      <c r="D67" s="158"/>
    </row>
    <row r="68" spans="1:4" s="103" customFormat="1" x14ac:dyDescent="0.2">
      <c r="A68" s="195"/>
      <c r="B68" s="158"/>
      <c r="C68" s="235"/>
      <c r="D68" s="158"/>
    </row>
    <row r="69" spans="1:4" s="103" customFormat="1" x14ac:dyDescent="0.2">
      <c r="A69" s="195"/>
      <c r="B69" s="158"/>
      <c r="C69" s="235"/>
      <c r="D69" s="158"/>
    </row>
    <row r="70" spans="1:4" s="103" customFormat="1" x14ac:dyDescent="0.2">
      <c r="A70" s="195"/>
      <c r="B70" s="155"/>
      <c r="C70" s="235"/>
      <c r="D70" s="155"/>
    </row>
    <row r="71" spans="1:4" s="103" customFormat="1" x14ac:dyDescent="0.2">
      <c r="A71" s="195"/>
      <c r="B71" s="155"/>
      <c r="C71" s="235"/>
      <c r="D71" s="155"/>
    </row>
    <row r="72" spans="1:4" s="103" customFormat="1" x14ac:dyDescent="0.2">
      <c r="A72" s="195"/>
      <c r="B72" s="155"/>
      <c r="C72" s="235"/>
      <c r="D72" s="155"/>
    </row>
    <row r="73" spans="1:4" s="103" customFormat="1" x14ac:dyDescent="0.2">
      <c r="A73" s="195"/>
      <c r="B73" s="155"/>
      <c r="C73" s="235"/>
      <c r="D73" s="155"/>
    </row>
    <row r="74" spans="1:4" s="103" customFormat="1" x14ac:dyDescent="0.2">
      <c r="A74" s="195"/>
      <c r="B74" s="155"/>
      <c r="C74" s="235"/>
      <c r="D74" s="155"/>
    </row>
    <row r="75" spans="1:4" s="103" customFormat="1" x14ac:dyDescent="0.2">
      <c r="A75" s="195"/>
      <c r="B75" s="155"/>
      <c r="C75" s="235"/>
      <c r="D75" s="155"/>
    </row>
    <row r="76" spans="1:4" s="103" customFormat="1" x14ac:dyDescent="0.2">
      <c r="A76" s="195"/>
      <c r="B76" s="155"/>
      <c r="C76" s="235"/>
      <c r="D76" s="155"/>
    </row>
    <row r="77" spans="1:4" s="103" customFormat="1" x14ac:dyDescent="0.2">
      <c r="A77" s="195"/>
      <c r="B77" s="155"/>
      <c r="C77" s="235"/>
      <c r="D77" s="155"/>
    </row>
    <row r="78" spans="1:4" s="103" customFormat="1" x14ac:dyDescent="0.2">
      <c r="A78" s="195"/>
      <c r="B78" s="155"/>
      <c r="C78" s="235"/>
      <c r="D78" s="155"/>
    </row>
    <row r="79" spans="1:4" s="103" customFormat="1" x14ac:dyDescent="0.2">
      <c r="A79" s="195"/>
      <c r="B79" s="155"/>
      <c r="C79" s="235"/>
      <c r="D79" s="155"/>
    </row>
    <row r="80" spans="1:4" s="103" customFormat="1" x14ac:dyDescent="0.2">
      <c r="A80" s="195"/>
      <c r="B80" s="155"/>
      <c r="C80" s="235"/>
      <c r="D80" s="155"/>
    </row>
    <row r="81" spans="1:4" s="103" customFormat="1" x14ac:dyDescent="0.2">
      <c r="A81" s="195"/>
      <c r="B81" s="155"/>
      <c r="C81" s="235"/>
      <c r="D81" s="155"/>
    </row>
    <row r="82" spans="1:4" s="103" customFormat="1" x14ac:dyDescent="0.2">
      <c r="A82" s="195"/>
      <c r="B82" s="155"/>
      <c r="C82" s="235"/>
      <c r="D82" s="155"/>
    </row>
    <row r="83" spans="1:4" s="103" customFormat="1" x14ac:dyDescent="0.2">
      <c r="A83" s="195"/>
      <c r="B83" s="155"/>
      <c r="C83" s="235"/>
      <c r="D83" s="155"/>
    </row>
    <row r="84" spans="1:4" s="103" customFormat="1" x14ac:dyDescent="0.2">
      <c r="A84" s="195"/>
      <c r="B84" s="155"/>
      <c r="C84" s="235"/>
      <c r="D84" s="155"/>
    </row>
    <row r="85" spans="1:4" s="103" customFormat="1" x14ac:dyDescent="0.2">
      <c r="A85" s="195"/>
      <c r="B85" s="155"/>
      <c r="C85" s="235"/>
      <c r="D85" s="155"/>
    </row>
    <row r="86" spans="1:4" s="103" customFormat="1" x14ac:dyDescent="0.2">
      <c r="A86" s="195"/>
      <c r="B86" s="155"/>
      <c r="C86" s="235"/>
      <c r="D86" s="155"/>
    </row>
    <row r="87" spans="1:4" s="103" customFormat="1" x14ac:dyDescent="0.2">
      <c r="A87" s="195"/>
      <c r="B87" s="155"/>
      <c r="C87" s="235"/>
      <c r="D87" s="155"/>
    </row>
    <row r="88" spans="1:4" s="103" customFormat="1" x14ac:dyDescent="0.2">
      <c r="A88" s="195"/>
      <c r="B88" s="155"/>
      <c r="C88" s="235"/>
      <c r="D88" s="155"/>
    </row>
    <row r="89" spans="1:4" s="103" customFormat="1" x14ac:dyDescent="0.2">
      <c r="A89" s="195"/>
      <c r="B89" s="155"/>
      <c r="C89" s="235"/>
      <c r="D89" s="155"/>
    </row>
    <row r="90" spans="1:4" s="103" customFormat="1" x14ac:dyDescent="0.2">
      <c r="A90" s="195"/>
      <c r="B90" s="155"/>
      <c r="C90" s="235"/>
      <c r="D90" s="155"/>
    </row>
    <row r="91" spans="1:4" s="103" customFormat="1" x14ac:dyDescent="0.2">
      <c r="A91" s="195"/>
      <c r="B91" s="155"/>
      <c r="C91" s="235"/>
      <c r="D91" s="155"/>
    </row>
    <row r="92" spans="1:4" s="103" customFormat="1" x14ac:dyDescent="0.2">
      <c r="A92" s="195"/>
      <c r="B92" s="155"/>
      <c r="C92" s="235"/>
      <c r="D92" s="155"/>
    </row>
    <row r="93" spans="1:4" s="103" customFormat="1" x14ac:dyDescent="0.2">
      <c r="A93" s="195"/>
      <c r="B93" s="155"/>
      <c r="C93" s="235"/>
      <c r="D93" s="155"/>
    </row>
    <row r="94" spans="1:4" s="103" customFormat="1" x14ac:dyDescent="0.2">
      <c r="A94" s="195"/>
      <c r="B94" s="155"/>
      <c r="C94" s="235"/>
      <c r="D94" s="155"/>
    </row>
    <row r="95" spans="1:4" s="103" customFormat="1" x14ac:dyDescent="0.2">
      <c r="A95" s="195"/>
      <c r="B95" s="155"/>
      <c r="C95" s="235"/>
      <c r="D95" s="155"/>
    </row>
    <row r="96" spans="1:4" s="103" customFormat="1" x14ac:dyDescent="0.2">
      <c r="A96" s="195"/>
      <c r="B96" s="155"/>
      <c r="C96" s="235"/>
      <c r="D96" s="155"/>
    </row>
    <row r="97" spans="1:4" s="103" customFormat="1" x14ac:dyDescent="0.2">
      <c r="A97" s="195"/>
      <c r="B97" s="155"/>
      <c r="C97" s="235"/>
      <c r="D97" s="155"/>
    </row>
    <row r="98" spans="1:4" s="103" customFormat="1" x14ac:dyDescent="0.2">
      <c r="A98" s="195"/>
      <c r="B98" s="155"/>
      <c r="C98" s="235"/>
      <c r="D98" s="155"/>
    </row>
    <row r="99" spans="1:4" s="103" customFormat="1" x14ac:dyDescent="0.2">
      <c r="A99" s="195"/>
      <c r="B99" s="155"/>
      <c r="C99" s="235"/>
      <c r="D99" s="155"/>
    </row>
    <row r="100" spans="1:4" s="103" customFormat="1" x14ac:dyDescent="0.2">
      <c r="A100" s="195"/>
      <c r="B100" s="155"/>
      <c r="C100" s="235"/>
      <c r="D100" s="155"/>
    </row>
    <row r="101" spans="1:4" s="103" customFormat="1" x14ac:dyDescent="0.2">
      <c r="A101" s="195"/>
      <c r="B101" s="155"/>
      <c r="C101" s="235"/>
      <c r="D101" s="155"/>
    </row>
    <row r="102" spans="1:4" s="103" customFormat="1" x14ac:dyDescent="0.2">
      <c r="A102" s="195"/>
      <c r="B102" s="155"/>
      <c r="C102" s="235"/>
      <c r="D102" s="155"/>
    </row>
    <row r="103" spans="1:4" s="103" customFormat="1" x14ac:dyDescent="0.2">
      <c r="A103" s="195"/>
      <c r="B103" s="155"/>
      <c r="C103" s="235"/>
      <c r="D103" s="155"/>
    </row>
    <row r="104" spans="1:4" s="103" customFormat="1" x14ac:dyDescent="0.2">
      <c r="A104" s="195"/>
      <c r="B104" s="155"/>
      <c r="C104" s="235"/>
      <c r="D104" s="155"/>
    </row>
    <row r="105" spans="1:4" s="103" customFormat="1" x14ac:dyDescent="0.2">
      <c r="A105" s="195"/>
      <c r="B105" s="155"/>
      <c r="C105" s="235"/>
      <c r="D105" s="155"/>
    </row>
    <row r="106" spans="1:4" s="103" customFormat="1" x14ac:dyDescent="0.2">
      <c r="A106" s="195"/>
      <c r="B106" s="155"/>
      <c r="C106" s="235"/>
      <c r="D106" s="155"/>
    </row>
    <row r="107" spans="1:4" s="103" customFormat="1" x14ac:dyDescent="0.2">
      <c r="A107" s="195"/>
      <c r="B107" s="155"/>
      <c r="C107" s="235"/>
      <c r="D107" s="155"/>
    </row>
    <row r="108" spans="1:4" s="103" customFormat="1" x14ac:dyDescent="0.2">
      <c r="A108" s="195"/>
      <c r="B108" s="155"/>
      <c r="C108" s="235"/>
      <c r="D108" s="155"/>
    </row>
    <row r="109" spans="1:4" s="103" customFormat="1" x14ac:dyDescent="0.2">
      <c r="A109" s="195"/>
      <c r="B109" s="155"/>
      <c r="C109" s="235"/>
      <c r="D109" s="155"/>
    </row>
    <row r="110" spans="1:4" s="103" customFormat="1" x14ac:dyDescent="0.2">
      <c r="A110" s="195"/>
      <c r="B110" s="155"/>
      <c r="C110" s="235"/>
      <c r="D110" s="155"/>
    </row>
    <row r="111" spans="1:4" s="103" customFormat="1" x14ac:dyDescent="0.2">
      <c r="A111" s="195"/>
      <c r="B111" s="155"/>
      <c r="C111" s="235"/>
      <c r="D111" s="155"/>
    </row>
    <row r="112" spans="1:4" s="103" customFormat="1" x14ac:dyDescent="0.2">
      <c r="A112" s="195"/>
      <c r="B112" s="155"/>
      <c r="C112" s="235"/>
      <c r="D112" s="155"/>
    </row>
    <row r="113" spans="1:4" s="103" customFormat="1" x14ac:dyDescent="0.2">
      <c r="A113" s="195"/>
      <c r="B113" s="155"/>
      <c r="C113" s="235"/>
      <c r="D113" s="155"/>
    </row>
    <row r="114" spans="1:4" s="103" customFormat="1" x14ac:dyDescent="0.2">
      <c r="A114" s="195"/>
      <c r="B114" s="155"/>
      <c r="C114" s="235"/>
      <c r="D114" s="155"/>
    </row>
    <row r="115" spans="1:4" s="103" customFormat="1" x14ac:dyDescent="0.2">
      <c r="A115" s="195"/>
      <c r="B115" s="155"/>
      <c r="C115" s="235"/>
      <c r="D115" s="155"/>
    </row>
    <row r="116" spans="1:4" s="103" customFormat="1" x14ac:dyDescent="0.2">
      <c r="A116" s="195"/>
      <c r="B116" s="155"/>
      <c r="C116" s="235"/>
      <c r="D116" s="155"/>
    </row>
    <row r="117" spans="1:4" s="103" customFormat="1" x14ac:dyDescent="0.2">
      <c r="A117" s="195"/>
      <c r="B117" s="155"/>
      <c r="C117" s="235"/>
      <c r="D117" s="155"/>
    </row>
    <row r="118" spans="1:4" s="103" customFormat="1" x14ac:dyDescent="0.2">
      <c r="A118" s="195"/>
      <c r="B118" s="155"/>
      <c r="C118" s="235"/>
      <c r="D118" s="155"/>
    </row>
    <row r="119" spans="1:4" s="103" customFormat="1" x14ac:dyDescent="0.2">
      <c r="A119" s="195"/>
      <c r="B119" s="155"/>
      <c r="C119" s="235"/>
      <c r="D119" s="155"/>
    </row>
    <row r="120" spans="1:4" s="103" customFormat="1" x14ac:dyDescent="0.2">
      <c r="A120" s="195"/>
      <c r="B120" s="155"/>
      <c r="C120" s="235"/>
      <c r="D120" s="155"/>
    </row>
    <row r="121" spans="1:4" s="103" customFormat="1" x14ac:dyDescent="0.2">
      <c r="A121" s="195"/>
      <c r="B121" s="155"/>
      <c r="C121" s="235"/>
      <c r="D121" s="155"/>
    </row>
    <row r="122" spans="1:4" s="103" customFormat="1" x14ac:dyDescent="0.2">
      <c r="A122" s="195"/>
      <c r="B122" s="155"/>
      <c r="C122" s="235"/>
      <c r="D122" s="155"/>
    </row>
    <row r="123" spans="1:4" s="103" customFormat="1" x14ac:dyDescent="0.2">
      <c r="A123" s="195"/>
      <c r="B123" s="155"/>
      <c r="C123" s="235"/>
      <c r="D123" s="155"/>
    </row>
    <row r="124" spans="1:4" s="103" customFormat="1" x14ac:dyDescent="0.2">
      <c r="A124" s="195"/>
      <c r="B124" s="155"/>
      <c r="C124" s="235"/>
      <c r="D124" s="155"/>
    </row>
    <row r="125" spans="1:4" s="103" customFormat="1" x14ac:dyDescent="0.2">
      <c r="A125" s="195"/>
      <c r="B125" s="155"/>
      <c r="C125" s="235"/>
      <c r="D125" s="155"/>
    </row>
    <row r="126" spans="1:4" s="103" customFormat="1" x14ac:dyDescent="0.2">
      <c r="A126" s="195"/>
      <c r="B126" s="155"/>
      <c r="C126" s="235"/>
      <c r="D126" s="155"/>
    </row>
    <row r="127" spans="1:4" s="103" customFormat="1" x14ac:dyDescent="0.2">
      <c r="A127" s="195"/>
      <c r="B127" s="155"/>
      <c r="C127" s="235"/>
      <c r="D127" s="155"/>
    </row>
    <row r="128" spans="1:4" s="103" customFormat="1" x14ac:dyDescent="0.2">
      <c r="A128" s="195"/>
      <c r="B128" s="155"/>
      <c r="C128" s="235"/>
      <c r="D128" s="155"/>
    </row>
    <row r="129" spans="1:4" s="103" customFormat="1" x14ac:dyDescent="0.2">
      <c r="A129" s="195"/>
      <c r="B129" s="155"/>
      <c r="C129" s="235"/>
      <c r="D129" s="155"/>
    </row>
    <row r="130" spans="1:4" s="103" customFormat="1" x14ac:dyDescent="0.2">
      <c r="A130" s="195"/>
      <c r="B130" s="155"/>
      <c r="C130" s="235"/>
      <c r="D130" s="155"/>
    </row>
    <row r="131" spans="1:4" s="103" customFormat="1" x14ac:dyDescent="0.2">
      <c r="A131" s="195"/>
      <c r="B131" s="155"/>
      <c r="C131" s="235"/>
      <c r="D131" s="155"/>
    </row>
    <row r="132" spans="1:4" s="103" customFormat="1" x14ac:dyDescent="0.2">
      <c r="A132" s="195"/>
      <c r="B132" s="155"/>
      <c r="C132" s="235"/>
      <c r="D132" s="155"/>
    </row>
    <row r="133" spans="1:4" s="103" customFormat="1" x14ac:dyDescent="0.2">
      <c r="A133" s="195"/>
      <c r="B133" s="155"/>
      <c r="C133" s="235"/>
      <c r="D133" s="155"/>
    </row>
    <row r="134" spans="1:4" s="103" customFormat="1" x14ac:dyDescent="0.2">
      <c r="A134" s="195"/>
      <c r="B134" s="155"/>
      <c r="C134" s="235"/>
      <c r="D134" s="155"/>
    </row>
    <row r="135" spans="1:4" s="103" customFormat="1" x14ac:dyDescent="0.2">
      <c r="A135" s="195"/>
      <c r="B135" s="155"/>
      <c r="C135" s="235"/>
      <c r="D135" s="155"/>
    </row>
    <row r="136" spans="1:4" s="103" customFormat="1" x14ac:dyDescent="0.2">
      <c r="A136" s="195"/>
      <c r="B136" s="155"/>
      <c r="C136" s="235"/>
      <c r="D136" s="155"/>
    </row>
    <row r="137" spans="1:4" s="103" customFormat="1" x14ac:dyDescent="0.2">
      <c r="A137" s="195"/>
      <c r="B137" s="155"/>
      <c r="C137" s="235"/>
      <c r="D137" s="155"/>
    </row>
    <row r="138" spans="1:4" s="103" customFormat="1" x14ac:dyDescent="0.2">
      <c r="A138" s="195"/>
      <c r="B138" s="155"/>
      <c r="C138" s="235"/>
      <c r="D138" s="155"/>
    </row>
    <row r="139" spans="1:4" s="103" customFormat="1" x14ac:dyDescent="0.2">
      <c r="A139" s="195"/>
      <c r="B139" s="155"/>
      <c r="C139" s="235"/>
      <c r="D139" s="155"/>
    </row>
    <row r="140" spans="1:4" s="103" customFormat="1" x14ac:dyDescent="0.2">
      <c r="A140" s="195"/>
      <c r="B140" s="155"/>
      <c r="C140" s="235"/>
      <c r="D140" s="155"/>
    </row>
    <row r="141" spans="1:4" s="103" customFormat="1" x14ac:dyDescent="0.2">
      <c r="A141" s="195"/>
      <c r="B141" s="155"/>
      <c r="C141" s="235"/>
      <c r="D141" s="155"/>
    </row>
    <row r="142" spans="1:4" s="103" customFormat="1" x14ac:dyDescent="0.2">
      <c r="A142" s="195"/>
      <c r="B142" s="155"/>
      <c r="C142" s="235"/>
      <c r="D142" s="155"/>
    </row>
    <row r="143" spans="1:4" s="103" customFormat="1" x14ac:dyDescent="0.2">
      <c r="A143" s="195"/>
      <c r="B143" s="155"/>
      <c r="C143" s="235"/>
      <c r="D143" s="155"/>
    </row>
    <row r="144" spans="1:4" s="103" customFormat="1" x14ac:dyDescent="0.2">
      <c r="A144" s="195"/>
      <c r="B144" s="155"/>
      <c r="C144" s="235"/>
      <c r="D144" s="155"/>
    </row>
    <row r="145" spans="1:21" x14ac:dyDescent="0.2">
      <c r="A145" s="195"/>
      <c r="B145" s="155"/>
      <c r="C145" s="235"/>
      <c r="D145" s="155"/>
    </row>
    <row r="146" spans="1:21" x14ac:dyDescent="0.2">
      <c r="A146" s="195"/>
      <c r="B146" s="155"/>
      <c r="C146" s="235"/>
      <c r="D146" s="155"/>
    </row>
    <row r="147" spans="1:21" x14ac:dyDescent="0.2">
      <c r="A147" s="195"/>
      <c r="B147" s="155"/>
      <c r="C147" s="235"/>
      <c r="D147" s="155"/>
    </row>
    <row r="148" spans="1:21" x14ac:dyDescent="0.2">
      <c r="A148" s="195"/>
      <c r="B148" s="155"/>
      <c r="C148" s="235"/>
      <c r="D148" s="155"/>
    </row>
    <row r="149" spans="1:21" x14ac:dyDescent="0.2">
      <c r="A149" s="195"/>
      <c r="B149" s="155"/>
      <c r="C149" s="235"/>
      <c r="D149" s="155"/>
    </row>
    <row r="150" spans="1:21" x14ac:dyDescent="0.2">
      <c r="A150" s="195"/>
      <c r="B150" s="155"/>
      <c r="C150" s="235"/>
      <c r="D150" s="155"/>
    </row>
    <row r="151" spans="1:21" x14ac:dyDescent="0.2">
      <c r="A151" s="195"/>
      <c r="B151" s="155"/>
      <c r="C151" s="235"/>
      <c r="D151" s="155"/>
    </row>
    <row r="152" spans="1:21" x14ac:dyDescent="0.2">
      <c r="A152" s="195"/>
      <c r="B152" s="155"/>
      <c r="C152" s="235"/>
      <c r="D152" s="155"/>
    </row>
    <row r="153" spans="1:21" x14ac:dyDescent="0.2">
      <c r="A153" s="195"/>
      <c r="B153" s="155"/>
      <c r="C153" s="235"/>
      <c r="D153" s="155"/>
    </row>
    <row r="154" spans="1:21" x14ac:dyDescent="0.2">
      <c r="A154" s="195"/>
      <c r="B154" s="155"/>
      <c r="C154" s="235"/>
      <c r="D154" s="155"/>
    </row>
    <row r="155" spans="1:21" x14ac:dyDescent="0.2">
      <c r="A155" s="195"/>
      <c r="B155" s="155"/>
      <c r="C155" s="235"/>
      <c r="D155" s="155"/>
    </row>
    <row r="156" spans="1:21" x14ac:dyDescent="0.2">
      <c r="A156" s="195"/>
      <c r="B156" s="155"/>
      <c r="C156" s="235"/>
      <c r="D156" s="155"/>
    </row>
    <row r="157" spans="1:21" x14ac:dyDescent="0.2">
      <c r="A157" s="195"/>
      <c r="B157" s="155"/>
      <c r="C157" s="235"/>
      <c r="D157" s="155"/>
    </row>
    <row r="158" spans="1:21" x14ac:dyDescent="0.2">
      <c r="A158" s="195"/>
      <c r="B158" s="155"/>
      <c r="C158" s="235"/>
      <c r="D158" s="155"/>
    </row>
    <row r="159" spans="1:21" s="108" customFormat="1" ht="16" thickBot="1" x14ac:dyDescent="0.25">
      <c r="A159" s="274"/>
      <c r="B159" s="234"/>
      <c r="C159" s="250"/>
      <c r="D159" s="234"/>
      <c r="E159" s="103"/>
      <c r="F159" s="103"/>
      <c r="G159" s="103"/>
      <c r="H159" s="103"/>
      <c r="I159" s="239"/>
      <c r="J159" s="239"/>
      <c r="K159" s="239"/>
      <c r="L159" s="239"/>
      <c r="M159" s="239"/>
      <c r="N159" s="239"/>
      <c r="O159" s="239"/>
      <c r="P159" s="239"/>
      <c r="Q159" s="239"/>
      <c r="R159" s="239"/>
      <c r="S159" s="239"/>
      <c r="T159" s="239"/>
      <c r="U159" s="239"/>
    </row>
    <row r="160" spans="1:21" ht="30" customHeight="1" thickBot="1" x14ac:dyDescent="0.25">
      <c r="A160" s="910" t="s">
        <v>1030</v>
      </c>
      <c r="B160" s="246" t="s">
        <v>1031</v>
      </c>
      <c r="C160" s="245" t="s">
        <v>1032</v>
      </c>
      <c r="D160" s="161" t="s">
        <v>1033</v>
      </c>
      <c r="E160" s="161" t="s">
        <v>1034</v>
      </c>
      <c r="F160" s="161" t="s">
        <v>1035</v>
      </c>
      <c r="G160" s="161" t="s">
        <v>1036</v>
      </c>
      <c r="H160" s="169" t="s">
        <v>1037</v>
      </c>
      <c r="I160" s="242" t="s">
        <v>1026</v>
      </c>
      <c r="J160" s="267"/>
      <c r="K160" s="267"/>
      <c r="L160" s="150"/>
    </row>
    <row r="161" spans="1:12" s="103" customFormat="1" x14ac:dyDescent="0.2">
      <c r="A161" s="911"/>
      <c r="B161" s="238"/>
      <c r="C161" s="237"/>
      <c r="D161" s="158"/>
      <c r="E161" s="238"/>
      <c r="F161" s="158"/>
      <c r="G161" s="158"/>
      <c r="H161" s="158"/>
    </row>
    <row r="162" spans="1:12" s="103" customFormat="1" ht="16" thickBot="1" x14ac:dyDescent="0.25">
      <c r="A162" s="912"/>
      <c r="B162" s="215"/>
      <c r="C162" s="235"/>
      <c r="D162" s="155"/>
      <c r="E162" s="215"/>
      <c r="F162" s="155"/>
      <c r="G162" s="155"/>
      <c r="H162" s="155"/>
    </row>
    <row r="163" spans="1:12" s="103" customFormat="1" x14ac:dyDescent="0.2">
      <c r="A163" s="913" t="s">
        <v>1038</v>
      </c>
      <c r="B163" s="155"/>
      <c r="C163" s="235"/>
      <c r="D163" s="155"/>
      <c r="E163" s="215"/>
      <c r="F163" s="155"/>
      <c r="G163" s="155"/>
      <c r="H163" s="155"/>
    </row>
    <row r="164" spans="1:12" s="103" customFormat="1" x14ac:dyDescent="0.2">
      <c r="A164" s="914"/>
      <c r="B164" s="155"/>
      <c r="C164" s="235"/>
      <c r="D164" s="155"/>
      <c r="E164" s="215"/>
      <c r="F164" s="155"/>
      <c r="G164" s="155"/>
      <c r="H164" s="155"/>
    </row>
    <row r="165" spans="1:12" s="103" customFormat="1" x14ac:dyDescent="0.2">
      <c r="A165" s="914"/>
      <c r="B165" s="155"/>
      <c r="C165" s="235"/>
      <c r="D165" s="155"/>
      <c r="E165" s="215"/>
      <c r="F165" s="155"/>
      <c r="G165" s="155"/>
      <c r="H165" s="155"/>
    </row>
    <row r="166" spans="1:12" s="103" customFormat="1" x14ac:dyDescent="0.2">
      <c r="B166" s="155"/>
      <c r="C166" s="235"/>
      <c r="D166" s="155"/>
      <c r="E166" s="215"/>
      <c r="F166" s="155"/>
      <c r="G166" s="155"/>
      <c r="H166" s="155"/>
    </row>
    <row r="167" spans="1:12" s="103" customFormat="1" x14ac:dyDescent="0.2">
      <c r="B167" s="155"/>
      <c r="C167" s="235"/>
      <c r="D167" s="155"/>
      <c r="E167" s="215"/>
      <c r="F167" s="155"/>
      <c r="G167" s="155"/>
      <c r="H167" s="155"/>
    </row>
    <row r="168" spans="1:12" s="103" customFormat="1" x14ac:dyDescent="0.2">
      <c r="B168" s="155"/>
      <c r="C168" s="235"/>
      <c r="D168" s="155"/>
      <c r="E168" s="215"/>
      <c r="F168" s="155"/>
      <c r="G168" s="155"/>
      <c r="H168" s="155"/>
    </row>
    <row r="169" spans="1:12" s="103" customFormat="1" x14ac:dyDescent="0.2">
      <c r="B169" s="155"/>
      <c r="C169" s="235"/>
      <c r="D169" s="155"/>
      <c r="E169" s="215"/>
      <c r="F169" s="155"/>
      <c r="G169" s="155"/>
      <c r="H169" s="155"/>
    </row>
    <row r="170" spans="1:12" s="103" customFormat="1" ht="15" customHeight="1" x14ac:dyDescent="0.2">
      <c r="B170" s="155"/>
      <c r="C170" s="235"/>
      <c r="D170" s="155"/>
      <c r="E170" s="215"/>
      <c r="F170" s="155"/>
      <c r="G170" s="155"/>
      <c r="H170" s="155"/>
      <c r="J170" s="150"/>
      <c r="K170" s="150"/>
      <c r="L170" s="150"/>
    </row>
    <row r="171" spans="1:12" s="103" customFormat="1" ht="15" customHeight="1" x14ac:dyDescent="0.2">
      <c r="B171" s="155"/>
      <c r="C171" s="235"/>
      <c r="D171" s="155"/>
      <c r="E171" s="215"/>
      <c r="F171" s="155"/>
      <c r="G171" s="155"/>
      <c r="H171" s="155"/>
      <c r="J171" s="150"/>
      <c r="K171" s="150"/>
      <c r="L171" s="150"/>
    </row>
    <row r="172" spans="1:12" s="103" customFormat="1" ht="15" customHeight="1" x14ac:dyDescent="0.2">
      <c r="B172" s="155"/>
      <c r="C172" s="235"/>
      <c r="D172" s="155"/>
      <c r="E172" s="215"/>
      <c r="F172" s="155"/>
      <c r="G172" s="155"/>
      <c r="H172" s="155"/>
      <c r="J172" s="150"/>
      <c r="K172" s="150"/>
      <c r="L172" s="150"/>
    </row>
    <row r="173" spans="1:12" s="103" customFormat="1" ht="15" customHeight="1" x14ac:dyDescent="0.2">
      <c r="B173" s="155"/>
      <c r="C173" s="235"/>
      <c r="D173" s="155"/>
      <c r="E173" s="215"/>
      <c r="F173" s="155"/>
      <c r="G173" s="155"/>
      <c r="H173" s="155"/>
      <c r="J173" s="150"/>
      <c r="K173" s="150"/>
      <c r="L173" s="150"/>
    </row>
    <row r="174" spans="1:12" s="103" customFormat="1" ht="15" customHeight="1" x14ac:dyDescent="0.2">
      <c r="B174" s="155"/>
      <c r="C174" s="235"/>
      <c r="D174" s="155"/>
      <c r="E174" s="215"/>
      <c r="F174" s="155"/>
      <c r="G174" s="155"/>
      <c r="H174" s="155"/>
      <c r="J174" s="150"/>
      <c r="K174" s="150"/>
      <c r="L174" s="150"/>
    </row>
    <row r="175" spans="1:12" s="103" customFormat="1" ht="15" customHeight="1" x14ac:dyDescent="0.2">
      <c r="B175" s="155"/>
      <c r="C175" s="235"/>
      <c r="D175" s="155"/>
      <c r="E175" s="215"/>
      <c r="F175" s="155"/>
      <c r="G175" s="155"/>
      <c r="H175" s="155"/>
      <c r="J175" s="150"/>
      <c r="K175" s="150"/>
      <c r="L175" s="150"/>
    </row>
    <row r="176" spans="1:12" s="103" customFormat="1" ht="15" customHeight="1" x14ac:dyDescent="0.2">
      <c r="B176" s="155"/>
      <c r="C176" s="235"/>
      <c r="D176" s="155"/>
      <c r="E176" s="215"/>
      <c r="F176" s="155"/>
      <c r="G176" s="155"/>
      <c r="H176" s="155"/>
      <c r="J176" s="150"/>
      <c r="K176" s="150"/>
      <c r="L176" s="150"/>
    </row>
    <row r="177" spans="1:21" ht="15" customHeight="1" x14ac:dyDescent="0.2">
      <c r="B177" s="155"/>
      <c r="C177" s="235"/>
      <c r="D177" s="155"/>
      <c r="E177" s="215"/>
      <c r="F177" s="155"/>
      <c r="G177" s="155"/>
      <c r="H177" s="155"/>
      <c r="J177" s="150"/>
      <c r="K177" s="150"/>
      <c r="L177" s="150"/>
    </row>
    <row r="178" spans="1:21" s="108" customFormat="1" ht="15" customHeight="1" thickBot="1" x14ac:dyDescent="0.25">
      <c r="A178" s="103"/>
      <c r="B178" s="234"/>
      <c r="C178" s="250"/>
      <c r="D178" s="234"/>
      <c r="E178" s="263"/>
      <c r="F178" s="155"/>
      <c r="G178" s="155"/>
      <c r="H178" s="155"/>
      <c r="I178" s="239"/>
      <c r="J178" s="262"/>
      <c r="K178" s="262"/>
      <c r="L178" s="262"/>
      <c r="M178" s="239"/>
      <c r="N178" s="239"/>
      <c r="O178" s="239"/>
      <c r="P178" s="239"/>
      <c r="Q178" s="239"/>
      <c r="R178" s="239"/>
      <c r="S178" s="239"/>
      <c r="T178" s="239"/>
      <c r="U178" s="239"/>
    </row>
    <row r="179" spans="1:21" ht="31.5" customHeight="1" thickBot="1" x14ac:dyDescent="0.25">
      <c r="A179" s="163" t="s">
        <v>1039</v>
      </c>
      <c r="B179" s="273"/>
      <c r="C179" s="245" t="s">
        <v>1024</v>
      </c>
      <c r="D179" s="161" t="s">
        <v>1040</v>
      </c>
      <c r="E179" s="159" t="s">
        <v>1041</v>
      </c>
      <c r="F179" s="242" t="s">
        <v>1026</v>
      </c>
      <c r="G179" s="267"/>
      <c r="H179" s="267"/>
      <c r="J179" s="150"/>
      <c r="K179" s="150"/>
      <c r="L179" s="150"/>
      <c r="M179" s="150"/>
    </row>
    <row r="180" spans="1:21" ht="18.75" customHeight="1" x14ac:dyDescent="0.2">
      <c r="A180" s="915" t="s">
        <v>1042</v>
      </c>
      <c r="B180" s="272"/>
      <c r="C180" s="237"/>
      <c r="D180" s="158"/>
      <c r="E180" s="238"/>
      <c r="J180" s="150"/>
      <c r="K180" s="150"/>
      <c r="L180" s="150"/>
      <c r="M180" s="150"/>
    </row>
    <row r="181" spans="1:21" ht="17.25" customHeight="1" x14ac:dyDescent="0.2">
      <c r="A181" s="916"/>
      <c r="B181" s="266"/>
      <c r="C181" s="235"/>
      <c r="D181" s="155"/>
      <c r="E181" s="215"/>
      <c r="J181" s="150"/>
      <c r="K181" s="150"/>
      <c r="L181" s="150"/>
      <c r="M181" s="150"/>
    </row>
    <row r="182" spans="1:21" x14ac:dyDescent="0.2">
      <c r="A182" s="916"/>
      <c r="B182" s="266"/>
      <c r="C182" s="235"/>
      <c r="D182" s="155"/>
      <c r="E182" s="215"/>
      <c r="J182" s="150"/>
      <c r="K182" s="150"/>
      <c r="L182" s="150"/>
      <c r="M182" s="150"/>
    </row>
    <row r="183" spans="1:21" x14ac:dyDescent="0.2">
      <c r="A183" s="917"/>
      <c r="B183" s="265"/>
      <c r="C183" s="235"/>
      <c r="D183" s="155"/>
      <c r="E183" s="215"/>
      <c r="J183" s="150"/>
      <c r="K183" s="150"/>
      <c r="L183" s="150"/>
      <c r="M183" s="150"/>
    </row>
    <row r="184" spans="1:21" x14ac:dyDescent="0.2">
      <c r="B184" s="265"/>
      <c r="C184" s="235"/>
      <c r="D184" s="155"/>
      <c r="E184" s="215"/>
      <c r="J184" s="150"/>
      <c r="K184" s="150"/>
      <c r="L184" s="150"/>
      <c r="M184" s="150"/>
    </row>
    <row r="185" spans="1:21" x14ac:dyDescent="0.2">
      <c r="B185" s="265"/>
      <c r="C185" s="235"/>
      <c r="D185" s="155"/>
      <c r="E185" s="215"/>
      <c r="J185" s="150"/>
      <c r="K185" s="150"/>
      <c r="L185" s="150"/>
      <c r="M185" s="150"/>
    </row>
    <row r="186" spans="1:21" x14ac:dyDescent="0.2">
      <c r="B186" s="265"/>
      <c r="C186" s="235"/>
      <c r="D186" s="155"/>
      <c r="E186" s="215"/>
      <c r="J186" s="150"/>
      <c r="K186" s="150"/>
      <c r="L186" s="150"/>
      <c r="M186" s="150"/>
    </row>
    <row r="187" spans="1:21" x14ac:dyDescent="0.2">
      <c r="B187" s="265"/>
      <c r="C187" s="235"/>
      <c r="D187" s="155"/>
      <c r="E187" s="215"/>
      <c r="J187" s="150"/>
      <c r="K187" s="150"/>
      <c r="L187" s="150"/>
      <c r="M187" s="150"/>
    </row>
    <row r="188" spans="1:21" x14ac:dyDescent="0.2">
      <c r="B188" s="265"/>
      <c r="C188" s="235"/>
      <c r="D188" s="155"/>
      <c r="E188" s="215"/>
      <c r="J188" s="150"/>
      <c r="K188" s="150"/>
      <c r="L188" s="150"/>
      <c r="M188" s="150"/>
    </row>
    <row r="189" spans="1:21" x14ac:dyDescent="0.2">
      <c r="B189" s="265"/>
      <c r="C189" s="235"/>
      <c r="D189" s="155"/>
      <c r="E189" s="215"/>
      <c r="J189" s="150"/>
      <c r="K189" s="150"/>
      <c r="L189" s="150"/>
      <c r="M189" s="150"/>
    </row>
    <row r="190" spans="1:21" x14ac:dyDescent="0.2">
      <c r="B190" s="265"/>
      <c r="C190" s="235"/>
      <c r="D190" s="155"/>
      <c r="E190" s="215"/>
      <c r="J190" s="150"/>
      <c r="K190" s="150"/>
      <c r="L190" s="150"/>
      <c r="M190" s="150"/>
    </row>
    <row r="191" spans="1:21" x14ac:dyDescent="0.2">
      <c r="B191" s="265"/>
      <c r="C191" s="235"/>
      <c r="D191" s="155"/>
      <c r="E191" s="215"/>
      <c r="J191" s="150"/>
      <c r="K191" s="150"/>
      <c r="L191" s="150"/>
      <c r="M191" s="150"/>
    </row>
    <row r="192" spans="1:21" x14ac:dyDescent="0.2">
      <c r="B192" s="265"/>
      <c r="C192" s="235"/>
      <c r="D192" s="155"/>
      <c r="E192" s="215"/>
      <c r="J192" s="150"/>
      <c r="K192" s="150"/>
      <c r="L192" s="150"/>
      <c r="M192" s="150"/>
    </row>
    <row r="193" spans="1:21" x14ac:dyDescent="0.2">
      <c r="B193" s="265"/>
      <c r="C193" s="235"/>
      <c r="D193" s="155"/>
      <c r="E193" s="215"/>
      <c r="J193" s="150"/>
      <c r="K193" s="150"/>
      <c r="L193" s="150"/>
      <c r="M193" s="150"/>
    </row>
    <row r="194" spans="1:21" x14ac:dyDescent="0.2">
      <c r="B194" s="265"/>
      <c r="C194" s="235"/>
      <c r="D194" s="155"/>
      <c r="E194" s="215"/>
      <c r="J194" s="150"/>
      <c r="K194" s="150"/>
      <c r="L194" s="150"/>
      <c r="M194" s="150"/>
    </row>
    <row r="195" spans="1:21" x14ac:dyDescent="0.2">
      <c r="B195" s="265"/>
      <c r="C195" s="235"/>
      <c r="D195" s="155"/>
      <c r="E195" s="215"/>
      <c r="J195" s="150"/>
      <c r="K195" s="150"/>
      <c r="L195" s="150"/>
      <c r="M195" s="150"/>
    </row>
    <row r="196" spans="1:21" x14ac:dyDescent="0.2">
      <c r="B196" s="265"/>
      <c r="C196" s="235"/>
      <c r="D196" s="155"/>
      <c r="E196" s="215"/>
      <c r="J196" s="150"/>
      <c r="K196" s="150"/>
      <c r="L196" s="150"/>
      <c r="M196" s="150"/>
    </row>
    <row r="197" spans="1:21" x14ac:dyDescent="0.2">
      <c r="B197" s="265"/>
      <c r="C197" s="235"/>
      <c r="D197" s="155"/>
      <c r="E197" s="215"/>
      <c r="J197" s="150"/>
      <c r="K197" s="150"/>
      <c r="L197" s="150"/>
      <c r="M197" s="150"/>
    </row>
    <row r="198" spans="1:21" s="108" customFormat="1" ht="16" thickBot="1" x14ac:dyDescent="0.25">
      <c r="A198" s="103"/>
      <c r="B198" s="265"/>
      <c r="C198" s="250"/>
      <c r="D198" s="234"/>
      <c r="E198" s="263"/>
      <c r="F198" s="103"/>
      <c r="G198" s="103"/>
      <c r="H198" s="239"/>
      <c r="I198" s="239"/>
      <c r="J198" s="262"/>
      <c r="K198" s="262"/>
      <c r="L198" s="262"/>
      <c r="M198" s="262"/>
      <c r="N198" s="239"/>
      <c r="O198" s="239"/>
      <c r="P198" s="239"/>
      <c r="Q198" s="239"/>
      <c r="R198" s="239"/>
      <c r="S198" s="239"/>
      <c r="T198" s="239"/>
      <c r="U198" s="239"/>
    </row>
    <row r="199" spans="1:21" ht="36" customHeight="1" thickBot="1" x14ac:dyDescent="0.25">
      <c r="A199" s="271" t="s">
        <v>1043</v>
      </c>
      <c r="B199" s="270"/>
      <c r="C199" s="269" t="s">
        <v>1024</v>
      </c>
      <c r="D199" s="245" t="s">
        <v>1025</v>
      </c>
      <c r="E199" s="268" t="s">
        <v>1044</v>
      </c>
      <c r="F199" s="245" t="s">
        <v>1045</v>
      </c>
      <c r="G199" s="251" t="s">
        <v>578</v>
      </c>
      <c r="H199" s="242" t="s">
        <v>1026</v>
      </c>
      <c r="I199" s="267"/>
      <c r="J199" s="267"/>
      <c r="L199" s="150"/>
    </row>
    <row r="200" spans="1:21" x14ac:dyDescent="0.2">
      <c r="A200" s="915" t="s">
        <v>1042</v>
      </c>
      <c r="B200" s="266"/>
      <c r="C200" s="237"/>
      <c r="D200" s="158"/>
      <c r="E200" s="238"/>
      <c r="F200" s="158"/>
      <c r="G200" s="158"/>
    </row>
    <row r="201" spans="1:21" x14ac:dyDescent="0.2">
      <c r="A201" s="916"/>
      <c r="B201" s="266"/>
      <c r="C201" s="235"/>
      <c r="D201" s="155"/>
      <c r="E201" s="215"/>
      <c r="F201" s="155"/>
      <c r="G201" s="155"/>
      <c r="J201" s="150"/>
      <c r="K201" s="150"/>
      <c r="L201" s="150"/>
    </row>
    <row r="202" spans="1:21" ht="16.5" customHeight="1" x14ac:dyDescent="0.2">
      <c r="A202" s="916"/>
      <c r="B202" s="266"/>
      <c r="C202" s="235"/>
      <c r="D202" s="155"/>
      <c r="E202" s="215"/>
      <c r="F202" s="155"/>
      <c r="G202" s="155"/>
      <c r="J202" s="150"/>
      <c r="K202" s="150"/>
      <c r="L202" s="150"/>
    </row>
    <row r="203" spans="1:21" x14ac:dyDescent="0.2">
      <c r="A203" s="917"/>
      <c r="B203" s="265"/>
      <c r="C203" s="235"/>
      <c r="D203" s="155"/>
      <c r="E203" s="215"/>
      <c r="F203" s="155"/>
      <c r="G203" s="155"/>
      <c r="J203" s="150"/>
      <c r="K203" s="150"/>
      <c r="L203" s="150"/>
    </row>
    <row r="204" spans="1:21" x14ac:dyDescent="0.2">
      <c r="B204" s="265"/>
      <c r="C204" s="235"/>
      <c r="D204" s="155"/>
      <c r="E204" s="215"/>
      <c r="F204" s="155"/>
      <c r="G204" s="155"/>
      <c r="J204" s="150"/>
      <c r="K204" s="150"/>
      <c r="L204" s="150"/>
    </row>
    <row r="205" spans="1:21" x14ac:dyDescent="0.2">
      <c r="B205" s="265"/>
      <c r="C205" s="235"/>
      <c r="D205" s="155"/>
      <c r="E205" s="215"/>
      <c r="F205" s="155"/>
      <c r="G205" s="155"/>
      <c r="J205" s="150"/>
      <c r="K205" s="150"/>
      <c r="L205" s="150"/>
    </row>
    <row r="206" spans="1:21" x14ac:dyDescent="0.2">
      <c r="B206" s="265"/>
      <c r="C206" s="235"/>
      <c r="D206" s="155"/>
      <c r="E206" s="215"/>
      <c r="F206" s="155"/>
      <c r="G206" s="155"/>
      <c r="J206" s="150"/>
      <c r="K206" s="150"/>
      <c r="L206" s="150"/>
    </row>
    <row r="207" spans="1:21" x14ac:dyDescent="0.2">
      <c r="B207" s="265"/>
      <c r="C207" s="235"/>
      <c r="D207" s="155"/>
      <c r="E207" s="215"/>
      <c r="F207" s="155"/>
      <c r="G207" s="155"/>
      <c r="J207" s="150"/>
      <c r="K207" s="150"/>
      <c r="L207" s="150"/>
    </row>
    <row r="208" spans="1:21" x14ac:dyDescent="0.2">
      <c r="B208" s="265"/>
      <c r="C208" s="235"/>
      <c r="D208" s="155"/>
      <c r="E208" s="215"/>
      <c r="F208" s="155"/>
      <c r="G208" s="155"/>
      <c r="J208" s="150"/>
      <c r="K208" s="150"/>
      <c r="L208" s="150"/>
    </row>
    <row r="209" spans="1:21" s="108" customFormat="1" ht="16" thickBot="1" x14ac:dyDescent="0.25">
      <c r="A209" s="103"/>
      <c r="B209" s="264"/>
      <c r="C209" s="250"/>
      <c r="D209" s="234"/>
      <c r="E209" s="263"/>
      <c r="F209" s="234"/>
      <c r="G209" s="234"/>
      <c r="H209" s="103"/>
      <c r="I209" s="103"/>
      <c r="J209" s="150"/>
      <c r="K209" s="262"/>
      <c r="L209" s="262"/>
      <c r="M209" s="239"/>
      <c r="N209" s="239"/>
      <c r="O209" s="239"/>
      <c r="P209" s="239"/>
      <c r="Q209" s="239"/>
      <c r="R209" s="239"/>
      <c r="S209" s="239"/>
      <c r="T209" s="239"/>
      <c r="U209" s="239"/>
    </row>
    <row r="210" spans="1:21" ht="33" thickBot="1" x14ac:dyDescent="0.25">
      <c r="A210" s="224" t="s">
        <v>1046</v>
      </c>
      <c r="B210" s="246" t="s">
        <v>1031</v>
      </c>
      <c r="C210" s="245" t="s">
        <v>1028</v>
      </c>
      <c r="D210" s="245" t="s">
        <v>1047</v>
      </c>
      <c r="E210" s="245" t="s">
        <v>1048</v>
      </c>
      <c r="F210" s="252" t="s">
        <v>1049</v>
      </c>
      <c r="G210" s="245" t="s">
        <v>1050</v>
      </c>
      <c r="H210" s="245" t="s">
        <v>1051</v>
      </c>
      <c r="I210" s="252" t="s">
        <v>1052</v>
      </c>
      <c r="J210" s="261" t="s">
        <v>1053</v>
      </c>
      <c r="K210" s="242" t="s">
        <v>1026</v>
      </c>
    </row>
    <row r="211" spans="1:21" ht="15" customHeight="1" x14ac:dyDescent="0.2">
      <c r="A211" s="918" t="s">
        <v>1054</v>
      </c>
      <c r="B211" s="158"/>
      <c r="C211" s="237"/>
      <c r="D211" s="158"/>
      <c r="E211" s="158"/>
      <c r="F211" s="256">
        <f t="shared" ref="F211:F225" si="0">E211-900</f>
        <v>-900</v>
      </c>
      <c r="G211" s="260">
        <f t="shared" ref="G211:G225" si="1">E211/36</f>
        <v>0</v>
      </c>
      <c r="H211" s="158"/>
      <c r="I211" s="225">
        <f t="shared" ref="I211:I225" si="2">H211-G211</f>
        <v>0</v>
      </c>
      <c r="J211" s="158"/>
    </row>
    <row r="212" spans="1:21" x14ac:dyDescent="0.2">
      <c r="A212" s="919"/>
      <c r="B212" s="155"/>
      <c r="C212" s="235"/>
      <c r="D212" s="155"/>
      <c r="E212" s="155"/>
      <c r="F212" s="254">
        <f t="shared" si="0"/>
        <v>-900</v>
      </c>
      <c r="G212" s="259">
        <f t="shared" si="1"/>
        <v>0</v>
      </c>
      <c r="H212" s="155"/>
      <c r="I212" s="201">
        <f t="shared" si="2"/>
        <v>0</v>
      </c>
      <c r="J212" s="155"/>
    </row>
    <row r="213" spans="1:21" ht="16" thickBot="1" x14ac:dyDescent="0.25">
      <c r="A213" s="920"/>
      <c r="B213" s="155"/>
      <c r="C213" s="235"/>
      <c r="D213" s="155"/>
      <c r="E213" s="155"/>
      <c r="F213" s="254">
        <f t="shared" si="0"/>
        <v>-900</v>
      </c>
      <c r="G213" s="259">
        <f t="shared" si="1"/>
        <v>0</v>
      </c>
      <c r="H213" s="155"/>
      <c r="I213" s="201">
        <f t="shared" si="2"/>
        <v>0</v>
      </c>
      <c r="J213" s="155"/>
    </row>
    <row r="214" spans="1:21" x14ac:dyDescent="0.2">
      <c r="B214" s="155"/>
      <c r="C214" s="235"/>
      <c r="D214" s="155"/>
      <c r="E214" s="155"/>
      <c r="F214" s="254">
        <f t="shared" si="0"/>
        <v>-900</v>
      </c>
      <c r="G214" s="259">
        <f t="shared" si="1"/>
        <v>0</v>
      </c>
      <c r="H214" s="155"/>
      <c r="I214" s="201">
        <f t="shared" si="2"/>
        <v>0</v>
      </c>
      <c r="J214" s="155"/>
    </row>
    <row r="215" spans="1:21" x14ac:dyDescent="0.2">
      <c r="B215" s="155"/>
      <c r="C215" s="235"/>
      <c r="D215" s="155"/>
      <c r="E215" s="155"/>
      <c r="F215" s="254">
        <f t="shared" si="0"/>
        <v>-900</v>
      </c>
      <c r="G215" s="259">
        <f t="shared" si="1"/>
        <v>0</v>
      </c>
      <c r="H215" s="155"/>
      <c r="I215" s="201">
        <f t="shared" si="2"/>
        <v>0</v>
      </c>
      <c r="J215" s="155"/>
    </row>
    <row r="216" spans="1:21" x14ac:dyDescent="0.2">
      <c r="B216" s="155"/>
      <c r="C216" s="235"/>
      <c r="D216" s="155"/>
      <c r="E216" s="155"/>
      <c r="F216" s="254">
        <f t="shared" si="0"/>
        <v>-900</v>
      </c>
      <c r="G216" s="259">
        <f t="shared" si="1"/>
        <v>0</v>
      </c>
      <c r="H216" s="155"/>
      <c r="I216" s="201">
        <f t="shared" si="2"/>
        <v>0</v>
      </c>
      <c r="J216" s="155"/>
    </row>
    <row r="217" spans="1:21" x14ac:dyDescent="0.2">
      <c r="B217" s="155"/>
      <c r="C217" s="235"/>
      <c r="D217" s="155"/>
      <c r="E217" s="155"/>
      <c r="F217" s="254">
        <f t="shared" si="0"/>
        <v>-900</v>
      </c>
      <c r="G217" s="259">
        <f t="shared" si="1"/>
        <v>0</v>
      </c>
      <c r="H217" s="155"/>
      <c r="I217" s="201">
        <f t="shared" si="2"/>
        <v>0</v>
      </c>
      <c r="J217" s="155"/>
    </row>
    <row r="218" spans="1:21" x14ac:dyDescent="0.2">
      <c r="B218" s="155"/>
      <c r="C218" s="235"/>
      <c r="D218" s="155"/>
      <c r="E218" s="155"/>
      <c r="F218" s="254">
        <f t="shared" si="0"/>
        <v>-900</v>
      </c>
      <c r="G218" s="259">
        <f t="shared" si="1"/>
        <v>0</v>
      </c>
      <c r="H218" s="155"/>
      <c r="I218" s="201">
        <f t="shared" si="2"/>
        <v>0</v>
      </c>
      <c r="J218" s="155"/>
    </row>
    <row r="219" spans="1:21" x14ac:dyDescent="0.2">
      <c r="B219" s="155"/>
      <c r="C219" s="235"/>
      <c r="D219" s="155"/>
      <c r="E219" s="155"/>
      <c r="F219" s="254">
        <f t="shared" si="0"/>
        <v>-900</v>
      </c>
      <c r="G219" s="259">
        <f t="shared" si="1"/>
        <v>0</v>
      </c>
      <c r="H219" s="155"/>
      <c r="I219" s="201">
        <f t="shared" si="2"/>
        <v>0</v>
      </c>
      <c r="J219" s="155"/>
    </row>
    <row r="220" spans="1:21" x14ac:dyDescent="0.2">
      <c r="B220" s="155"/>
      <c r="C220" s="235"/>
      <c r="D220" s="155"/>
      <c r="E220" s="155"/>
      <c r="F220" s="254">
        <f t="shared" si="0"/>
        <v>-900</v>
      </c>
      <c r="G220" s="259">
        <f t="shared" si="1"/>
        <v>0</v>
      </c>
      <c r="H220" s="155"/>
      <c r="I220" s="201">
        <f t="shared" si="2"/>
        <v>0</v>
      </c>
      <c r="J220" s="155"/>
    </row>
    <row r="221" spans="1:21" x14ac:dyDescent="0.2">
      <c r="B221" s="155"/>
      <c r="C221" s="235"/>
      <c r="D221" s="155"/>
      <c r="E221" s="155"/>
      <c r="F221" s="254">
        <f t="shared" si="0"/>
        <v>-900</v>
      </c>
      <c r="G221" s="259">
        <f t="shared" si="1"/>
        <v>0</v>
      </c>
      <c r="H221" s="155"/>
      <c r="I221" s="201">
        <f t="shared" si="2"/>
        <v>0</v>
      </c>
      <c r="J221" s="155"/>
    </row>
    <row r="222" spans="1:21" x14ac:dyDescent="0.2">
      <c r="B222" s="155"/>
      <c r="C222" s="235"/>
      <c r="D222" s="155"/>
      <c r="E222" s="155"/>
      <c r="F222" s="254">
        <f t="shared" si="0"/>
        <v>-900</v>
      </c>
      <c r="G222" s="259">
        <f t="shared" si="1"/>
        <v>0</v>
      </c>
      <c r="H222" s="155"/>
      <c r="I222" s="201">
        <f t="shared" si="2"/>
        <v>0</v>
      </c>
      <c r="J222" s="155"/>
    </row>
    <row r="223" spans="1:21" x14ac:dyDescent="0.2">
      <c r="B223" s="155"/>
      <c r="C223" s="235"/>
      <c r="D223" s="155"/>
      <c r="E223" s="155"/>
      <c r="F223" s="254">
        <f t="shared" si="0"/>
        <v>-900</v>
      </c>
      <c r="G223" s="259">
        <f t="shared" si="1"/>
        <v>0</v>
      </c>
      <c r="H223" s="155"/>
      <c r="I223" s="201">
        <f t="shared" si="2"/>
        <v>0</v>
      </c>
      <c r="J223" s="155"/>
    </row>
    <row r="224" spans="1:21" x14ac:dyDescent="0.2">
      <c r="B224" s="155"/>
      <c r="C224" s="235"/>
      <c r="D224" s="155"/>
      <c r="E224" s="155"/>
      <c r="F224" s="254">
        <f t="shared" si="0"/>
        <v>-900</v>
      </c>
      <c r="G224" s="259">
        <f t="shared" si="1"/>
        <v>0</v>
      </c>
      <c r="H224" s="155"/>
      <c r="I224" s="201">
        <f t="shared" si="2"/>
        <v>0</v>
      </c>
      <c r="J224" s="155"/>
    </row>
    <row r="225" spans="1:21" s="108" customFormat="1" ht="16" thickBot="1" x14ac:dyDescent="0.25">
      <c r="A225" s="103"/>
      <c r="B225" s="234"/>
      <c r="C225" s="250"/>
      <c r="D225" s="234"/>
      <c r="E225" s="234"/>
      <c r="F225" s="253">
        <f t="shared" si="0"/>
        <v>-900</v>
      </c>
      <c r="G225" s="258">
        <f t="shared" si="1"/>
        <v>0</v>
      </c>
      <c r="H225" s="234"/>
      <c r="I225" s="247">
        <f t="shared" si="2"/>
        <v>0</v>
      </c>
      <c r="J225" s="234"/>
      <c r="K225" s="239"/>
      <c r="L225" s="239"/>
      <c r="M225" s="239"/>
      <c r="N225" s="239"/>
      <c r="O225" s="239"/>
      <c r="P225" s="239"/>
      <c r="Q225" s="239"/>
      <c r="R225" s="239"/>
      <c r="S225" s="239"/>
      <c r="T225" s="239"/>
      <c r="U225" s="239"/>
    </row>
    <row r="226" spans="1:21" ht="30.75" customHeight="1" thickBot="1" x14ac:dyDescent="0.25">
      <c r="A226" s="224" t="s">
        <v>1055</v>
      </c>
      <c r="B226" s="246" t="s">
        <v>1031</v>
      </c>
      <c r="C226" s="245" t="s">
        <v>1056</v>
      </c>
      <c r="D226" s="245" t="s">
        <v>1047</v>
      </c>
      <c r="E226" s="161" t="s">
        <v>1048</v>
      </c>
      <c r="F226" s="243" t="s">
        <v>1057</v>
      </c>
      <c r="G226" s="161" t="s">
        <v>1058</v>
      </c>
      <c r="H226" s="161" t="s">
        <v>1059</v>
      </c>
      <c r="I226" s="243" t="s">
        <v>1060</v>
      </c>
      <c r="J226" s="169" t="s">
        <v>1061</v>
      </c>
      <c r="K226" s="242" t="s">
        <v>1026</v>
      </c>
      <c r="P226" s="257"/>
    </row>
    <row r="227" spans="1:21" x14ac:dyDescent="0.2">
      <c r="A227" s="918" t="s">
        <v>1054</v>
      </c>
      <c r="B227" s="238"/>
      <c r="C227" s="237"/>
      <c r="D227" s="158"/>
      <c r="E227" s="158"/>
      <c r="F227" s="256">
        <f t="shared" ref="F227:F251" si="3">E227-900</f>
        <v>-900</v>
      </c>
      <c r="G227" s="255"/>
      <c r="H227" s="157">
        <f t="shared" ref="H227:H251" si="4">ROUNDUP(IF(E227/41&gt;22,22,E227/41),0)</f>
        <v>0</v>
      </c>
      <c r="I227" s="158"/>
      <c r="J227" s="158"/>
    </row>
    <row r="228" spans="1:21" x14ac:dyDescent="0.2">
      <c r="A228" s="921"/>
      <c r="B228" s="215"/>
      <c r="C228" s="235"/>
      <c r="D228" s="155"/>
      <c r="E228" s="155"/>
      <c r="F228" s="254">
        <f t="shared" si="3"/>
        <v>-900</v>
      </c>
      <c r="G228" s="155"/>
      <c r="H228" s="154">
        <f t="shared" si="4"/>
        <v>0</v>
      </c>
      <c r="I228" s="155"/>
      <c r="J228" s="155"/>
    </row>
    <row r="229" spans="1:21" ht="16" thickBot="1" x14ac:dyDescent="0.25">
      <c r="A229" s="922"/>
      <c r="B229" s="215"/>
      <c r="C229" s="235"/>
      <c r="D229" s="155"/>
      <c r="E229" s="155"/>
      <c r="F229" s="254">
        <f t="shared" si="3"/>
        <v>-900</v>
      </c>
      <c r="G229" s="255"/>
      <c r="H229" s="154">
        <f t="shared" si="4"/>
        <v>0</v>
      </c>
      <c r="I229" s="155"/>
      <c r="J229" s="155"/>
    </row>
    <row r="230" spans="1:21" x14ac:dyDescent="0.2">
      <c r="A230" s="923" t="s">
        <v>1062</v>
      </c>
      <c r="B230" s="215"/>
      <c r="C230" s="235"/>
      <c r="D230" s="155"/>
      <c r="E230" s="155"/>
      <c r="F230" s="254">
        <f t="shared" si="3"/>
        <v>-900</v>
      </c>
      <c r="G230" s="155"/>
      <c r="H230" s="154">
        <f t="shared" si="4"/>
        <v>0</v>
      </c>
      <c r="I230" s="155"/>
      <c r="J230" s="155"/>
    </row>
    <row r="231" spans="1:21" x14ac:dyDescent="0.2">
      <c r="A231" s="924"/>
      <c r="B231" s="215"/>
      <c r="C231" s="235"/>
      <c r="D231" s="155"/>
      <c r="E231" s="155"/>
      <c r="F231" s="254">
        <f t="shared" si="3"/>
        <v>-900</v>
      </c>
      <c r="G231" s="155"/>
      <c r="H231" s="154">
        <f t="shared" si="4"/>
        <v>0</v>
      </c>
      <c r="I231" s="155"/>
      <c r="J231" s="155"/>
    </row>
    <row r="232" spans="1:21" ht="16" thickBot="1" x14ac:dyDescent="0.25">
      <c r="A232" s="925"/>
      <c r="B232" s="215"/>
      <c r="C232" s="235"/>
      <c r="D232" s="155"/>
      <c r="E232" s="155"/>
      <c r="F232" s="254">
        <f t="shared" si="3"/>
        <v>-900</v>
      </c>
      <c r="G232" s="155"/>
      <c r="H232" s="154">
        <f t="shared" si="4"/>
        <v>0</v>
      </c>
      <c r="I232" s="155"/>
      <c r="J232" s="155"/>
    </row>
    <row r="233" spans="1:21" x14ac:dyDescent="0.2">
      <c r="A233" s="923" t="s">
        <v>1063</v>
      </c>
      <c r="B233" s="215"/>
      <c r="C233" s="235"/>
      <c r="D233" s="155"/>
      <c r="E233" s="155"/>
      <c r="F233" s="254">
        <f t="shared" si="3"/>
        <v>-900</v>
      </c>
      <c r="G233" s="155"/>
      <c r="H233" s="154">
        <f t="shared" si="4"/>
        <v>0</v>
      </c>
      <c r="I233" s="155"/>
      <c r="J233" s="155"/>
    </row>
    <row r="234" spans="1:21" x14ac:dyDescent="0.2">
      <c r="A234" s="924"/>
      <c r="B234" s="215"/>
      <c r="C234" s="235"/>
      <c r="D234" s="155"/>
      <c r="E234" s="155"/>
      <c r="F234" s="254">
        <f t="shared" si="3"/>
        <v>-900</v>
      </c>
      <c r="G234" s="155"/>
      <c r="H234" s="154">
        <f t="shared" si="4"/>
        <v>0</v>
      </c>
      <c r="I234" s="155"/>
      <c r="J234" s="155"/>
    </row>
    <row r="235" spans="1:21" ht="16" thickBot="1" x14ac:dyDescent="0.25">
      <c r="A235" s="925"/>
      <c r="B235" s="215"/>
      <c r="C235" s="235"/>
      <c r="D235" s="155"/>
      <c r="E235" s="155"/>
      <c r="F235" s="254">
        <f t="shared" si="3"/>
        <v>-900</v>
      </c>
      <c r="G235" s="155"/>
      <c r="H235" s="154">
        <f t="shared" si="4"/>
        <v>0</v>
      </c>
      <c r="I235" s="155"/>
      <c r="J235" s="155"/>
    </row>
    <row r="236" spans="1:21" x14ac:dyDescent="0.2">
      <c r="B236" s="155"/>
      <c r="C236" s="235"/>
      <c r="D236" s="155"/>
      <c r="E236" s="155"/>
      <c r="F236" s="254">
        <f t="shared" si="3"/>
        <v>-900</v>
      </c>
      <c r="G236" s="155"/>
      <c r="H236" s="154">
        <f t="shared" si="4"/>
        <v>0</v>
      </c>
      <c r="I236" s="155"/>
      <c r="J236" s="155"/>
    </row>
    <row r="237" spans="1:21" x14ac:dyDescent="0.2">
      <c r="B237" s="155"/>
      <c r="C237" s="235"/>
      <c r="D237" s="155"/>
      <c r="E237" s="155"/>
      <c r="F237" s="254">
        <f t="shared" si="3"/>
        <v>-900</v>
      </c>
      <c r="G237" s="255"/>
      <c r="H237" s="154">
        <f t="shared" si="4"/>
        <v>0</v>
      </c>
      <c r="I237" s="155"/>
      <c r="J237" s="155"/>
    </row>
    <row r="238" spans="1:21" x14ac:dyDescent="0.2">
      <c r="B238" s="155"/>
      <c r="C238" s="235"/>
      <c r="D238" s="155"/>
      <c r="E238" s="155"/>
      <c r="F238" s="254">
        <f t="shared" si="3"/>
        <v>-900</v>
      </c>
      <c r="G238" s="234"/>
      <c r="H238" s="154">
        <f t="shared" si="4"/>
        <v>0</v>
      </c>
      <c r="I238" s="155"/>
      <c r="J238" s="155"/>
    </row>
    <row r="239" spans="1:21" x14ac:dyDescent="0.2">
      <c r="B239" s="155"/>
      <c r="C239" s="235"/>
      <c r="D239" s="155"/>
      <c r="E239" s="155"/>
      <c r="F239" s="254">
        <f t="shared" si="3"/>
        <v>-900</v>
      </c>
      <c r="G239" s="234"/>
      <c r="H239" s="154">
        <f t="shared" si="4"/>
        <v>0</v>
      </c>
      <c r="I239" s="155"/>
      <c r="J239" s="155"/>
    </row>
    <row r="240" spans="1:21" x14ac:dyDescent="0.2">
      <c r="B240" s="155"/>
      <c r="C240" s="235"/>
      <c r="D240" s="155"/>
      <c r="E240" s="155"/>
      <c r="F240" s="254">
        <f t="shared" si="3"/>
        <v>-900</v>
      </c>
      <c r="G240" s="234"/>
      <c r="H240" s="154">
        <f t="shared" si="4"/>
        <v>0</v>
      </c>
      <c r="I240" s="155"/>
      <c r="J240" s="155"/>
    </row>
    <row r="241" spans="1:21" x14ac:dyDescent="0.2">
      <c r="B241" s="155"/>
      <c r="C241" s="235"/>
      <c r="D241" s="155"/>
      <c r="E241" s="155"/>
      <c r="F241" s="254">
        <f t="shared" si="3"/>
        <v>-900</v>
      </c>
      <c r="G241" s="155"/>
      <c r="H241" s="154">
        <f t="shared" si="4"/>
        <v>0</v>
      </c>
      <c r="I241" s="155"/>
      <c r="J241" s="155"/>
    </row>
    <row r="242" spans="1:21" x14ac:dyDescent="0.2">
      <c r="B242" s="155"/>
      <c r="C242" s="235"/>
      <c r="D242" s="155"/>
      <c r="E242" s="155"/>
      <c r="F242" s="254">
        <f t="shared" si="3"/>
        <v>-900</v>
      </c>
      <c r="G242" s="255"/>
      <c r="H242" s="154">
        <f t="shared" si="4"/>
        <v>0</v>
      </c>
      <c r="I242" s="155"/>
      <c r="J242" s="155"/>
    </row>
    <row r="243" spans="1:21" x14ac:dyDescent="0.2">
      <c r="B243" s="155"/>
      <c r="C243" s="235"/>
      <c r="D243" s="155"/>
      <c r="E243" s="155"/>
      <c r="F243" s="254">
        <f t="shared" si="3"/>
        <v>-900</v>
      </c>
      <c r="G243" s="234"/>
      <c r="H243" s="154">
        <f t="shared" si="4"/>
        <v>0</v>
      </c>
      <c r="I243" s="155"/>
      <c r="J243" s="155"/>
    </row>
    <row r="244" spans="1:21" x14ac:dyDescent="0.2">
      <c r="B244" s="155"/>
      <c r="C244" s="235"/>
      <c r="D244" s="155"/>
      <c r="E244" s="155"/>
      <c r="F244" s="254">
        <f t="shared" si="3"/>
        <v>-900</v>
      </c>
      <c r="G244" s="234"/>
      <c r="H244" s="154">
        <f t="shared" si="4"/>
        <v>0</v>
      </c>
      <c r="I244" s="155"/>
      <c r="J244" s="155"/>
    </row>
    <row r="245" spans="1:21" x14ac:dyDescent="0.2">
      <c r="B245" s="155"/>
      <c r="C245" s="235"/>
      <c r="D245" s="155"/>
      <c r="E245" s="155"/>
      <c r="F245" s="254">
        <f t="shared" si="3"/>
        <v>-900</v>
      </c>
      <c r="G245" s="234"/>
      <c r="H245" s="154">
        <f t="shared" si="4"/>
        <v>0</v>
      </c>
      <c r="I245" s="155"/>
      <c r="J245" s="155"/>
    </row>
    <row r="246" spans="1:21" x14ac:dyDescent="0.2">
      <c r="B246" s="155"/>
      <c r="C246" s="235"/>
      <c r="D246" s="155"/>
      <c r="E246" s="155"/>
      <c r="F246" s="254">
        <f t="shared" si="3"/>
        <v>-900</v>
      </c>
      <c r="G246" s="234"/>
      <c r="H246" s="154">
        <f t="shared" si="4"/>
        <v>0</v>
      </c>
      <c r="I246" s="155"/>
      <c r="J246" s="155"/>
    </row>
    <row r="247" spans="1:21" x14ac:dyDescent="0.2">
      <c r="B247" s="155"/>
      <c r="C247" s="235"/>
      <c r="D247" s="155"/>
      <c r="E247" s="155"/>
      <c r="F247" s="254">
        <f t="shared" si="3"/>
        <v>-900</v>
      </c>
      <c r="G247" s="155"/>
      <c r="H247" s="154">
        <f t="shared" si="4"/>
        <v>0</v>
      </c>
      <c r="I247" s="155"/>
      <c r="J247" s="155"/>
    </row>
    <row r="248" spans="1:21" x14ac:dyDescent="0.2">
      <c r="B248" s="155"/>
      <c r="C248" s="235"/>
      <c r="D248" s="155"/>
      <c r="E248" s="155"/>
      <c r="F248" s="254">
        <f t="shared" si="3"/>
        <v>-900</v>
      </c>
      <c r="G248" s="255"/>
      <c r="H248" s="154">
        <f t="shared" si="4"/>
        <v>0</v>
      </c>
      <c r="I248" s="155"/>
      <c r="J248" s="155"/>
    </row>
    <row r="249" spans="1:21" x14ac:dyDescent="0.2">
      <c r="B249" s="155"/>
      <c r="C249" s="235"/>
      <c r="D249" s="155"/>
      <c r="E249" s="155"/>
      <c r="F249" s="254">
        <f t="shared" si="3"/>
        <v>-900</v>
      </c>
      <c r="G249" s="234"/>
      <c r="H249" s="154">
        <f t="shared" si="4"/>
        <v>0</v>
      </c>
      <c r="I249" s="155"/>
      <c r="J249" s="155"/>
    </row>
    <row r="250" spans="1:21" x14ac:dyDescent="0.2">
      <c r="B250" s="155"/>
      <c r="C250" s="235"/>
      <c r="D250" s="155"/>
      <c r="E250" s="155"/>
      <c r="F250" s="254">
        <f t="shared" si="3"/>
        <v>-900</v>
      </c>
      <c r="G250" s="234"/>
      <c r="H250" s="154">
        <f t="shared" si="4"/>
        <v>0</v>
      </c>
      <c r="I250" s="155"/>
      <c r="J250" s="155"/>
    </row>
    <row r="251" spans="1:21" s="108" customFormat="1" ht="16" thickBot="1" x14ac:dyDescent="0.25">
      <c r="A251" s="103"/>
      <c r="B251" s="234"/>
      <c r="C251" s="250"/>
      <c r="D251" s="234"/>
      <c r="E251" s="234"/>
      <c r="F251" s="253">
        <f t="shared" si="3"/>
        <v>-900</v>
      </c>
      <c r="G251" s="234"/>
      <c r="H251" s="248">
        <f t="shared" si="4"/>
        <v>0</v>
      </c>
      <c r="I251" s="234"/>
      <c r="J251" s="234"/>
      <c r="K251" s="103"/>
      <c r="L251" s="103"/>
      <c r="M251" s="103"/>
      <c r="N251" s="239"/>
      <c r="O251" s="239"/>
      <c r="P251" s="239"/>
      <c r="Q251" s="239"/>
      <c r="R251" s="239"/>
      <c r="S251" s="239"/>
      <c r="T251" s="239"/>
      <c r="U251" s="239"/>
    </row>
    <row r="252" spans="1:21" ht="30" customHeight="1" thickBot="1" x14ac:dyDescent="0.25">
      <c r="A252" s="224" t="s">
        <v>1064</v>
      </c>
      <c r="B252" s="246" t="s">
        <v>1031</v>
      </c>
      <c r="C252" s="245" t="s">
        <v>1056</v>
      </c>
      <c r="D252" s="245" t="s">
        <v>1047</v>
      </c>
      <c r="E252" s="245" t="s">
        <v>1048</v>
      </c>
      <c r="F252" s="244" t="s">
        <v>1065</v>
      </c>
      <c r="G252" s="245" t="s">
        <v>1059</v>
      </c>
      <c r="H252" s="245" t="s">
        <v>1058</v>
      </c>
      <c r="I252" s="252" t="s">
        <v>1060</v>
      </c>
      <c r="J252" s="245" t="s">
        <v>1066</v>
      </c>
      <c r="K252" s="252" t="s">
        <v>1057</v>
      </c>
      <c r="L252" s="245" t="s">
        <v>1067</v>
      </c>
      <c r="M252" s="251" t="s">
        <v>1061</v>
      </c>
      <c r="N252" s="242" t="s">
        <v>1026</v>
      </c>
      <c r="O252" s="195"/>
      <c r="P252" s="195"/>
    </row>
    <row r="253" spans="1:21" ht="15" customHeight="1" x14ac:dyDescent="0.2">
      <c r="A253" s="926" t="s">
        <v>1068</v>
      </c>
      <c r="B253" s="238"/>
      <c r="C253" s="237"/>
      <c r="D253" s="158"/>
      <c r="E253" s="158"/>
      <c r="F253" s="241">
        <f t="shared" ref="F253:F278" si="5">E253-1200</f>
        <v>-1200</v>
      </c>
      <c r="G253" s="157">
        <f t="shared" ref="G253:G278" si="6">ROUND(E253/50,0)</f>
        <v>0</v>
      </c>
      <c r="H253" s="158"/>
      <c r="I253" s="158"/>
      <c r="J253" s="158"/>
      <c r="K253" s="225">
        <f t="shared" ref="K253:K278" si="7">J253-(I253*6)</f>
        <v>0</v>
      </c>
      <c r="L253" s="158"/>
      <c r="M253" s="158"/>
      <c r="R253"/>
      <c r="S253"/>
      <c r="T253"/>
      <c r="U253"/>
    </row>
    <row r="254" spans="1:21" x14ac:dyDescent="0.2">
      <c r="A254" s="924"/>
      <c r="B254" s="215"/>
      <c r="C254" s="235"/>
      <c r="D254" s="155"/>
      <c r="E254" s="155"/>
      <c r="F254" s="240">
        <f t="shared" si="5"/>
        <v>-1200</v>
      </c>
      <c r="G254" s="154">
        <f t="shared" si="6"/>
        <v>0</v>
      </c>
      <c r="H254" s="155"/>
      <c r="I254" s="155"/>
      <c r="J254" s="155"/>
      <c r="K254" s="201">
        <f t="shared" si="7"/>
        <v>0</v>
      </c>
      <c r="L254" s="155"/>
      <c r="M254" s="155"/>
    </row>
    <row r="255" spans="1:21" ht="16" thickBot="1" x14ac:dyDescent="0.25">
      <c r="A255" s="925"/>
      <c r="B255" s="215"/>
      <c r="C255" s="235"/>
      <c r="D255" s="155"/>
      <c r="E255" s="155"/>
      <c r="F255" s="240">
        <f t="shared" si="5"/>
        <v>-1200</v>
      </c>
      <c r="G255" s="154">
        <f t="shared" si="6"/>
        <v>0</v>
      </c>
      <c r="H255" s="155"/>
      <c r="I255" s="155"/>
      <c r="J255" s="155"/>
      <c r="K255" s="201">
        <f t="shared" si="7"/>
        <v>0</v>
      </c>
      <c r="L255" s="155"/>
      <c r="M255" s="155"/>
    </row>
    <row r="256" spans="1:21" x14ac:dyDescent="0.2">
      <c r="A256" s="918" t="s">
        <v>1054</v>
      </c>
      <c r="B256" s="215"/>
      <c r="C256" s="235"/>
      <c r="D256" s="155"/>
      <c r="E256" s="155"/>
      <c r="F256" s="240">
        <f t="shared" si="5"/>
        <v>-1200</v>
      </c>
      <c r="G256" s="154">
        <f t="shared" si="6"/>
        <v>0</v>
      </c>
      <c r="H256" s="155"/>
      <c r="I256" s="155"/>
      <c r="J256" s="155"/>
      <c r="K256" s="201">
        <f t="shared" si="7"/>
        <v>0</v>
      </c>
      <c r="L256" s="155"/>
      <c r="M256" s="155"/>
    </row>
    <row r="257" spans="1:13" s="103" customFormat="1" x14ac:dyDescent="0.2">
      <c r="A257" s="921"/>
      <c r="B257" s="215"/>
      <c r="C257" s="235"/>
      <c r="D257" s="155"/>
      <c r="E257" s="155"/>
      <c r="F257" s="240">
        <f t="shared" si="5"/>
        <v>-1200</v>
      </c>
      <c r="G257" s="154">
        <f t="shared" si="6"/>
        <v>0</v>
      </c>
      <c r="H257" s="155"/>
      <c r="I257" s="155"/>
      <c r="J257" s="155"/>
      <c r="K257" s="201">
        <f t="shared" si="7"/>
        <v>0</v>
      </c>
      <c r="L257" s="155"/>
      <c r="M257" s="155"/>
    </row>
    <row r="258" spans="1:13" s="103" customFormat="1" ht="16" thickBot="1" x14ac:dyDescent="0.25">
      <c r="A258" s="922"/>
      <c r="B258" s="215"/>
      <c r="C258" s="235"/>
      <c r="D258" s="155"/>
      <c r="E258" s="155"/>
      <c r="F258" s="240">
        <f t="shared" si="5"/>
        <v>-1200</v>
      </c>
      <c r="G258" s="154">
        <f t="shared" si="6"/>
        <v>0</v>
      </c>
      <c r="H258" s="155"/>
      <c r="I258" s="155"/>
      <c r="J258" s="155"/>
      <c r="K258" s="201">
        <f t="shared" si="7"/>
        <v>0</v>
      </c>
      <c r="L258" s="155"/>
      <c r="M258" s="155"/>
    </row>
    <row r="259" spans="1:13" s="103" customFormat="1" x14ac:dyDescent="0.2">
      <c r="B259" s="155"/>
      <c r="C259" s="235"/>
      <c r="D259" s="155"/>
      <c r="E259" s="155"/>
      <c r="F259" s="240">
        <f t="shared" si="5"/>
        <v>-1200</v>
      </c>
      <c r="G259" s="154">
        <f t="shared" si="6"/>
        <v>0</v>
      </c>
      <c r="H259" s="155"/>
      <c r="I259" s="155"/>
      <c r="J259" s="155"/>
      <c r="K259" s="201">
        <f t="shared" si="7"/>
        <v>0</v>
      </c>
      <c r="L259" s="155"/>
      <c r="M259" s="155"/>
    </row>
    <row r="260" spans="1:13" s="103" customFormat="1" x14ac:dyDescent="0.2">
      <c r="B260" s="155"/>
      <c r="C260" s="235"/>
      <c r="D260" s="155"/>
      <c r="E260" s="155"/>
      <c r="F260" s="240">
        <f t="shared" si="5"/>
        <v>-1200</v>
      </c>
      <c r="G260" s="154">
        <f t="shared" si="6"/>
        <v>0</v>
      </c>
      <c r="H260" s="155"/>
      <c r="I260" s="155"/>
      <c r="J260" s="155"/>
      <c r="K260" s="201">
        <f t="shared" si="7"/>
        <v>0</v>
      </c>
      <c r="L260" s="155"/>
      <c r="M260" s="155"/>
    </row>
    <row r="261" spans="1:13" s="103" customFormat="1" x14ac:dyDescent="0.2">
      <c r="B261" s="155"/>
      <c r="C261" s="235"/>
      <c r="D261" s="155"/>
      <c r="E261" s="155"/>
      <c r="F261" s="240">
        <f t="shared" si="5"/>
        <v>-1200</v>
      </c>
      <c r="G261" s="154">
        <f t="shared" si="6"/>
        <v>0</v>
      </c>
      <c r="H261" s="155"/>
      <c r="I261" s="155"/>
      <c r="J261" s="155"/>
      <c r="K261" s="201">
        <f t="shared" si="7"/>
        <v>0</v>
      </c>
      <c r="L261" s="155"/>
      <c r="M261" s="155"/>
    </row>
    <row r="262" spans="1:13" s="103" customFormat="1" x14ac:dyDescent="0.2">
      <c r="B262" s="155"/>
      <c r="C262" s="235"/>
      <c r="D262" s="155"/>
      <c r="E262" s="155"/>
      <c r="F262" s="240">
        <f t="shared" si="5"/>
        <v>-1200</v>
      </c>
      <c r="G262" s="154">
        <f t="shared" si="6"/>
        <v>0</v>
      </c>
      <c r="H262" s="155"/>
      <c r="I262" s="155"/>
      <c r="J262" s="155"/>
      <c r="K262" s="201">
        <f t="shared" si="7"/>
        <v>0</v>
      </c>
      <c r="L262" s="155"/>
      <c r="M262" s="155"/>
    </row>
    <row r="263" spans="1:13" s="103" customFormat="1" x14ac:dyDescent="0.2">
      <c r="B263" s="155"/>
      <c r="C263" s="235"/>
      <c r="D263" s="155"/>
      <c r="E263" s="155"/>
      <c r="F263" s="240">
        <f t="shared" si="5"/>
        <v>-1200</v>
      </c>
      <c r="G263" s="154">
        <f t="shared" si="6"/>
        <v>0</v>
      </c>
      <c r="H263" s="155"/>
      <c r="I263" s="155"/>
      <c r="J263" s="155"/>
      <c r="K263" s="201">
        <f t="shared" si="7"/>
        <v>0</v>
      </c>
      <c r="L263" s="155"/>
      <c r="M263" s="155"/>
    </row>
    <row r="264" spans="1:13" s="103" customFormat="1" x14ac:dyDescent="0.2">
      <c r="B264" s="155"/>
      <c r="C264" s="235"/>
      <c r="D264" s="155"/>
      <c r="E264" s="155"/>
      <c r="F264" s="240">
        <f t="shared" si="5"/>
        <v>-1200</v>
      </c>
      <c r="G264" s="154">
        <f t="shared" si="6"/>
        <v>0</v>
      </c>
      <c r="H264" s="155"/>
      <c r="I264" s="155"/>
      <c r="J264" s="155"/>
      <c r="K264" s="201">
        <f t="shared" si="7"/>
        <v>0</v>
      </c>
      <c r="L264" s="155"/>
      <c r="M264" s="155"/>
    </row>
    <row r="265" spans="1:13" s="103" customFormat="1" x14ac:dyDescent="0.2">
      <c r="B265" s="155"/>
      <c r="C265" s="235"/>
      <c r="D265" s="155"/>
      <c r="E265" s="155"/>
      <c r="F265" s="240">
        <f t="shared" si="5"/>
        <v>-1200</v>
      </c>
      <c r="G265" s="154">
        <f t="shared" si="6"/>
        <v>0</v>
      </c>
      <c r="H265" s="155"/>
      <c r="I265" s="155"/>
      <c r="J265" s="155"/>
      <c r="K265" s="201">
        <f t="shared" si="7"/>
        <v>0</v>
      </c>
      <c r="L265" s="155"/>
      <c r="M265" s="155"/>
    </row>
    <row r="266" spans="1:13" s="103" customFormat="1" x14ac:dyDescent="0.2">
      <c r="B266" s="155"/>
      <c r="C266" s="235"/>
      <c r="D266" s="155"/>
      <c r="E266" s="155"/>
      <c r="F266" s="240">
        <f t="shared" si="5"/>
        <v>-1200</v>
      </c>
      <c r="G266" s="154">
        <f t="shared" si="6"/>
        <v>0</v>
      </c>
      <c r="H266" s="155"/>
      <c r="I266" s="155"/>
      <c r="J266" s="155"/>
      <c r="K266" s="201">
        <f t="shared" si="7"/>
        <v>0</v>
      </c>
      <c r="L266" s="155"/>
      <c r="M266" s="155"/>
    </row>
    <row r="267" spans="1:13" s="103" customFormat="1" x14ac:dyDescent="0.2">
      <c r="B267" s="155"/>
      <c r="C267" s="235"/>
      <c r="D267" s="155"/>
      <c r="E267" s="155"/>
      <c r="F267" s="240">
        <f t="shared" si="5"/>
        <v>-1200</v>
      </c>
      <c r="G267" s="154">
        <f t="shared" si="6"/>
        <v>0</v>
      </c>
      <c r="H267" s="155"/>
      <c r="I267" s="155"/>
      <c r="J267" s="155"/>
      <c r="K267" s="201">
        <f t="shared" si="7"/>
        <v>0</v>
      </c>
      <c r="L267" s="155"/>
      <c r="M267" s="155"/>
    </row>
    <row r="268" spans="1:13" s="103" customFormat="1" x14ac:dyDescent="0.2">
      <c r="B268" s="155"/>
      <c r="C268" s="235"/>
      <c r="D268" s="155"/>
      <c r="E268" s="155"/>
      <c r="F268" s="240">
        <f t="shared" si="5"/>
        <v>-1200</v>
      </c>
      <c r="G268" s="154">
        <f t="shared" si="6"/>
        <v>0</v>
      </c>
      <c r="H268" s="155"/>
      <c r="I268" s="155"/>
      <c r="J268" s="155"/>
      <c r="K268" s="201">
        <f t="shared" si="7"/>
        <v>0</v>
      </c>
      <c r="L268" s="155"/>
      <c r="M268" s="155"/>
    </row>
    <row r="269" spans="1:13" s="103" customFormat="1" x14ac:dyDescent="0.2">
      <c r="B269" s="155"/>
      <c r="C269" s="235"/>
      <c r="D269" s="155"/>
      <c r="E269" s="155"/>
      <c r="F269" s="240">
        <f t="shared" si="5"/>
        <v>-1200</v>
      </c>
      <c r="G269" s="154">
        <f t="shared" si="6"/>
        <v>0</v>
      </c>
      <c r="H269" s="155"/>
      <c r="I269" s="155"/>
      <c r="J269" s="155"/>
      <c r="K269" s="201">
        <f t="shared" si="7"/>
        <v>0</v>
      </c>
      <c r="L269" s="155"/>
      <c r="M269" s="155"/>
    </row>
    <row r="270" spans="1:13" s="103" customFormat="1" x14ac:dyDescent="0.2">
      <c r="B270" s="155"/>
      <c r="C270" s="235"/>
      <c r="D270" s="155"/>
      <c r="E270" s="155"/>
      <c r="F270" s="240">
        <f t="shared" si="5"/>
        <v>-1200</v>
      </c>
      <c r="G270" s="154">
        <f t="shared" si="6"/>
        <v>0</v>
      </c>
      <c r="H270" s="155"/>
      <c r="I270" s="155"/>
      <c r="J270" s="155"/>
      <c r="K270" s="201">
        <f t="shared" si="7"/>
        <v>0</v>
      </c>
      <c r="L270" s="155"/>
      <c r="M270" s="155"/>
    </row>
    <row r="271" spans="1:13" s="103" customFormat="1" x14ac:dyDescent="0.2">
      <c r="B271" s="155"/>
      <c r="C271" s="235"/>
      <c r="D271" s="155"/>
      <c r="E271" s="155"/>
      <c r="F271" s="240">
        <f t="shared" si="5"/>
        <v>-1200</v>
      </c>
      <c r="G271" s="154">
        <f t="shared" si="6"/>
        <v>0</v>
      </c>
      <c r="H271" s="155"/>
      <c r="I271" s="155"/>
      <c r="J271" s="155"/>
      <c r="K271" s="201">
        <f t="shared" si="7"/>
        <v>0</v>
      </c>
      <c r="L271" s="155"/>
      <c r="M271" s="155"/>
    </row>
    <row r="272" spans="1:13" s="103" customFormat="1" x14ac:dyDescent="0.2">
      <c r="B272" s="155"/>
      <c r="C272" s="235"/>
      <c r="D272" s="155"/>
      <c r="E272" s="155"/>
      <c r="F272" s="240">
        <f t="shared" si="5"/>
        <v>-1200</v>
      </c>
      <c r="G272" s="154">
        <f t="shared" si="6"/>
        <v>0</v>
      </c>
      <c r="H272" s="155"/>
      <c r="I272" s="155"/>
      <c r="J272" s="155"/>
      <c r="K272" s="201">
        <f t="shared" si="7"/>
        <v>0</v>
      </c>
      <c r="L272" s="155"/>
      <c r="M272" s="155"/>
    </row>
    <row r="273" spans="1:21" x14ac:dyDescent="0.2">
      <c r="B273" s="155"/>
      <c r="C273" s="235"/>
      <c r="D273" s="155"/>
      <c r="E273" s="155"/>
      <c r="F273" s="240">
        <f t="shared" si="5"/>
        <v>-1200</v>
      </c>
      <c r="G273" s="154">
        <f t="shared" si="6"/>
        <v>0</v>
      </c>
      <c r="H273" s="155"/>
      <c r="I273" s="155"/>
      <c r="J273" s="155"/>
      <c r="K273" s="201">
        <f t="shared" si="7"/>
        <v>0</v>
      </c>
      <c r="L273" s="155"/>
      <c r="M273" s="155"/>
    </row>
    <row r="274" spans="1:21" x14ac:dyDescent="0.2">
      <c r="B274" s="155"/>
      <c r="C274" s="235"/>
      <c r="D274" s="155"/>
      <c r="E274" s="155"/>
      <c r="F274" s="240">
        <f t="shared" si="5"/>
        <v>-1200</v>
      </c>
      <c r="G274" s="154">
        <f t="shared" si="6"/>
        <v>0</v>
      </c>
      <c r="H274" s="155"/>
      <c r="I274" s="155"/>
      <c r="J274" s="155"/>
      <c r="K274" s="201">
        <f t="shared" si="7"/>
        <v>0</v>
      </c>
      <c r="L274" s="155"/>
      <c r="M274" s="155"/>
    </row>
    <row r="275" spans="1:21" x14ac:dyDescent="0.2">
      <c r="B275" s="155"/>
      <c r="C275" s="235"/>
      <c r="D275" s="155"/>
      <c r="E275" s="155"/>
      <c r="F275" s="240">
        <f t="shared" si="5"/>
        <v>-1200</v>
      </c>
      <c r="G275" s="154">
        <f t="shared" si="6"/>
        <v>0</v>
      </c>
      <c r="H275" s="155"/>
      <c r="I275" s="155"/>
      <c r="J275" s="155"/>
      <c r="K275" s="201">
        <f t="shared" si="7"/>
        <v>0</v>
      </c>
      <c r="L275" s="155"/>
      <c r="M275" s="155"/>
    </row>
    <row r="276" spans="1:21" x14ac:dyDescent="0.2">
      <c r="B276" s="155"/>
      <c r="C276" s="235"/>
      <c r="D276" s="155"/>
      <c r="E276" s="155"/>
      <c r="F276" s="240">
        <f t="shared" si="5"/>
        <v>-1200</v>
      </c>
      <c r="G276" s="154">
        <f t="shared" si="6"/>
        <v>0</v>
      </c>
      <c r="H276" s="155"/>
      <c r="I276" s="155"/>
      <c r="J276" s="155"/>
      <c r="K276" s="201">
        <f t="shared" si="7"/>
        <v>0</v>
      </c>
      <c r="L276" s="155"/>
      <c r="M276" s="155"/>
    </row>
    <row r="277" spans="1:21" x14ac:dyDescent="0.2">
      <c r="B277" s="155"/>
      <c r="C277" s="235"/>
      <c r="D277" s="155"/>
      <c r="E277" s="155"/>
      <c r="F277" s="240">
        <f t="shared" si="5"/>
        <v>-1200</v>
      </c>
      <c r="G277" s="154">
        <f t="shared" si="6"/>
        <v>0</v>
      </c>
      <c r="H277" s="155"/>
      <c r="I277" s="155"/>
      <c r="J277" s="155"/>
      <c r="K277" s="201">
        <f t="shared" si="7"/>
        <v>0</v>
      </c>
      <c r="L277" s="155"/>
      <c r="M277" s="155"/>
    </row>
    <row r="278" spans="1:21" s="108" customFormat="1" ht="16" thickBot="1" x14ac:dyDescent="0.25">
      <c r="A278" s="103"/>
      <c r="B278" s="234"/>
      <c r="C278" s="250"/>
      <c r="D278" s="234"/>
      <c r="E278" s="234"/>
      <c r="F278" s="249">
        <f t="shared" si="5"/>
        <v>-1200</v>
      </c>
      <c r="G278" s="248">
        <f t="shared" si="6"/>
        <v>0</v>
      </c>
      <c r="H278" s="234"/>
      <c r="I278" s="234"/>
      <c r="J278" s="234"/>
      <c r="K278" s="247">
        <f t="shared" si="7"/>
        <v>0</v>
      </c>
      <c r="L278" s="234"/>
      <c r="M278" s="234"/>
      <c r="N278" s="239"/>
      <c r="O278" s="239"/>
      <c r="P278" s="239"/>
      <c r="Q278" s="239"/>
      <c r="R278" s="239"/>
      <c r="S278" s="239"/>
      <c r="T278" s="239"/>
      <c r="U278" s="239"/>
    </row>
    <row r="279" spans="1:21" ht="30" customHeight="1" thickBot="1" x14ac:dyDescent="0.25">
      <c r="A279" s="224" t="s">
        <v>1069</v>
      </c>
      <c r="B279" s="246" t="s">
        <v>1031</v>
      </c>
      <c r="C279" s="245" t="s">
        <v>1056</v>
      </c>
      <c r="D279" s="245" t="s">
        <v>1047</v>
      </c>
      <c r="E279" s="161" t="s">
        <v>1048</v>
      </c>
      <c r="F279" s="244" t="s">
        <v>1065</v>
      </c>
      <c r="G279" s="161" t="s">
        <v>1059</v>
      </c>
      <c r="H279" s="161" t="s">
        <v>1058</v>
      </c>
      <c r="I279" s="243" t="s">
        <v>1060</v>
      </c>
      <c r="J279" s="161" t="s">
        <v>1066</v>
      </c>
      <c r="K279" s="243" t="s">
        <v>1057</v>
      </c>
      <c r="L279" s="161" t="s">
        <v>1067</v>
      </c>
      <c r="M279" s="169" t="s">
        <v>1061</v>
      </c>
      <c r="N279" s="242" t="s">
        <v>1026</v>
      </c>
      <c r="O279" s="195"/>
      <c r="P279" s="195"/>
    </row>
    <row r="280" spans="1:21" x14ac:dyDescent="0.2">
      <c r="A280" s="926" t="s">
        <v>1070</v>
      </c>
      <c r="B280" s="238"/>
      <c r="C280" s="237"/>
      <c r="D280" s="158"/>
      <c r="E280" s="158"/>
      <c r="F280" s="241">
        <f t="shared" ref="F280:F305" si="8">E280-1400</f>
        <v>-1400</v>
      </c>
      <c r="G280" s="157">
        <f t="shared" ref="G280:G305" si="9">ROUND(E280/58,0)</f>
        <v>0</v>
      </c>
      <c r="H280" s="158"/>
      <c r="I280" s="158"/>
      <c r="J280" s="158"/>
      <c r="K280" s="225">
        <f t="shared" ref="K280:K305" si="10">J280-(I280*6)</f>
        <v>0</v>
      </c>
      <c r="L280" s="158"/>
      <c r="M280" s="158"/>
      <c r="Q280" s="150"/>
      <c r="R280"/>
      <c r="S280"/>
      <c r="T280"/>
      <c r="U280"/>
    </row>
    <row r="281" spans="1:21" x14ac:dyDescent="0.2">
      <c r="A281" s="924"/>
      <c r="B281" s="215"/>
      <c r="C281" s="235"/>
      <c r="D281" s="155"/>
      <c r="E281" s="155"/>
      <c r="F281" s="240">
        <f t="shared" si="8"/>
        <v>-1400</v>
      </c>
      <c r="G281" s="154">
        <f t="shared" si="9"/>
        <v>0</v>
      </c>
      <c r="H281" s="155"/>
      <c r="I281" s="155"/>
      <c r="J281" s="155"/>
      <c r="K281" s="201">
        <f t="shared" si="10"/>
        <v>0</v>
      </c>
      <c r="L281" s="155"/>
      <c r="M281" s="155"/>
    </row>
    <row r="282" spans="1:21" x14ac:dyDescent="0.2">
      <c r="A282" s="924"/>
      <c r="B282" s="215"/>
      <c r="C282" s="235"/>
      <c r="D282" s="155"/>
      <c r="E282" s="155"/>
      <c r="F282" s="240">
        <f t="shared" si="8"/>
        <v>-1400</v>
      </c>
      <c r="G282" s="154">
        <f t="shared" si="9"/>
        <v>0</v>
      </c>
      <c r="H282" s="155"/>
      <c r="I282" s="155"/>
      <c r="J282" s="155"/>
      <c r="K282" s="201">
        <f t="shared" si="10"/>
        <v>0</v>
      </c>
      <c r="L282" s="155"/>
      <c r="M282" s="155"/>
    </row>
    <row r="283" spans="1:21" ht="16" thickBot="1" x14ac:dyDescent="0.25">
      <c r="A283" s="925"/>
      <c r="B283" s="215"/>
      <c r="C283" s="235"/>
      <c r="D283" s="155"/>
      <c r="E283" s="155"/>
      <c r="F283" s="240">
        <f t="shared" si="8"/>
        <v>-1400</v>
      </c>
      <c r="G283" s="154">
        <f t="shared" si="9"/>
        <v>0</v>
      </c>
      <c r="H283" s="155"/>
      <c r="I283" s="155"/>
      <c r="J283" s="155"/>
      <c r="K283" s="201">
        <f t="shared" si="10"/>
        <v>0</v>
      </c>
      <c r="L283" s="155"/>
      <c r="M283" s="155"/>
    </row>
    <row r="284" spans="1:21" x14ac:dyDescent="0.2">
      <c r="A284" s="918" t="s">
        <v>1054</v>
      </c>
      <c r="B284" s="155"/>
      <c r="C284" s="235"/>
      <c r="D284" s="155"/>
      <c r="E284" s="155"/>
      <c r="F284" s="240">
        <f t="shared" si="8"/>
        <v>-1400</v>
      </c>
      <c r="G284" s="154">
        <f t="shared" si="9"/>
        <v>0</v>
      </c>
      <c r="H284" s="155"/>
      <c r="I284" s="155"/>
      <c r="J284" s="155"/>
      <c r="K284" s="201">
        <f t="shared" si="10"/>
        <v>0</v>
      </c>
      <c r="L284" s="155"/>
      <c r="M284" s="155"/>
    </row>
    <row r="285" spans="1:21" x14ac:dyDescent="0.2">
      <c r="A285" s="921"/>
      <c r="B285" s="155"/>
      <c r="C285" s="235"/>
      <c r="D285" s="155"/>
      <c r="E285" s="155"/>
      <c r="F285" s="240">
        <f t="shared" si="8"/>
        <v>-1400</v>
      </c>
      <c r="G285" s="154">
        <f t="shared" si="9"/>
        <v>0</v>
      </c>
      <c r="H285" s="155"/>
      <c r="I285" s="155"/>
      <c r="J285" s="155"/>
      <c r="K285" s="201">
        <f t="shared" si="10"/>
        <v>0</v>
      </c>
      <c r="L285" s="155"/>
      <c r="M285" s="155"/>
    </row>
    <row r="286" spans="1:21" ht="16" thickBot="1" x14ac:dyDescent="0.25">
      <c r="A286" s="922"/>
      <c r="B286" s="155"/>
      <c r="C286" s="235"/>
      <c r="D286" s="155"/>
      <c r="E286" s="155"/>
      <c r="F286" s="240">
        <f t="shared" si="8"/>
        <v>-1400</v>
      </c>
      <c r="G286" s="154">
        <f t="shared" si="9"/>
        <v>0</v>
      </c>
      <c r="H286" s="155"/>
      <c r="I286" s="155"/>
      <c r="J286" s="155"/>
      <c r="K286" s="201">
        <f t="shared" si="10"/>
        <v>0</v>
      </c>
      <c r="L286" s="155"/>
      <c r="M286" s="155"/>
    </row>
    <row r="287" spans="1:21" x14ac:dyDescent="0.2">
      <c r="B287" s="155"/>
      <c r="C287" s="235"/>
      <c r="D287" s="155"/>
      <c r="E287" s="155"/>
      <c r="F287" s="240">
        <f t="shared" si="8"/>
        <v>-1400</v>
      </c>
      <c r="G287" s="154">
        <f t="shared" si="9"/>
        <v>0</v>
      </c>
      <c r="H287" s="155"/>
      <c r="I287" s="155"/>
      <c r="J287" s="155"/>
      <c r="K287" s="201">
        <f t="shared" si="10"/>
        <v>0</v>
      </c>
      <c r="L287" s="155"/>
      <c r="M287" s="155"/>
    </row>
    <row r="288" spans="1:21" x14ac:dyDescent="0.2">
      <c r="B288" s="155"/>
      <c r="C288" s="235"/>
      <c r="D288" s="155"/>
      <c r="E288" s="155"/>
      <c r="F288" s="240">
        <f t="shared" si="8"/>
        <v>-1400</v>
      </c>
      <c r="G288" s="154">
        <f t="shared" si="9"/>
        <v>0</v>
      </c>
      <c r="H288" s="155"/>
      <c r="I288" s="155"/>
      <c r="J288" s="155"/>
      <c r="K288" s="201">
        <f t="shared" si="10"/>
        <v>0</v>
      </c>
      <c r="L288" s="155"/>
      <c r="M288" s="155"/>
    </row>
    <row r="289" spans="2:13" s="103" customFormat="1" x14ac:dyDescent="0.2">
      <c r="B289" s="155"/>
      <c r="C289" s="235"/>
      <c r="D289" s="155"/>
      <c r="E289" s="155"/>
      <c r="F289" s="240">
        <f t="shared" si="8"/>
        <v>-1400</v>
      </c>
      <c r="G289" s="154">
        <f t="shared" si="9"/>
        <v>0</v>
      </c>
      <c r="H289" s="155"/>
      <c r="I289" s="155"/>
      <c r="J289" s="155"/>
      <c r="K289" s="201">
        <f t="shared" si="10"/>
        <v>0</v>
      </c>
      <c r="L289" s="155"/>
      <c r="M289" s="155"/>
    </row>
    <row r="290" spans="2:13" s="103" customFormat="1" x14ac:dyDescent="0.2">
      <c r="B290" s="155"/>
      <c r="C290" s="235"/>
      <c r="D290" s="155"/>
      <c r="E290" s="155"/>
      <c r="F290" s="240">
        <f t="shared" si="8"/>
        <v>-1400</v>
      </c>
      <c r="G290" s="154">
        <f t="shared" si="9"/>
        <v>0</v>
      </c>
      <c r="H290" s="155"/>
      <c r="I290" s="155"/>
      <c r="J290" s="155"/>
      <c r="K290" s="201">
        <f t="shared" si="10"/>
        <v>0</v>
      </c>
      <c r="L290" s="155"/>
      <c r="M290" s="155"/>
    </row>
    <row r="291" spans="2:13" s="103" customFormat="1" x14ac:dyDescent="0.2">
      <c r="B291" s="155"/>
      <c r="C291" s="235"/>
      <c r="D291" s="155"/>
      <c r="E291" s="155"/>
      <c r="F291" s="240">
        <f t="shared" si="8"/>
        <v>-1400</v>
      </c>
      <c r="G291" s="154">
        <f t="shared" si="9"/>
        <v>0</v>
      </c>
      <c r="H291" s="155"/>
      <c r="I291" s="155"/>
      <c r="J291" s="155"/>
      <c r="K291" s="201">
        <f t="shared" si="10"/>
        <v>0</v>
      </c>
      <c r="L291" s="155"/>
      <c r="M291" s="155"/>
    </row>
    <row r="292" spans="2:13" s="103" customFormat="1" x14ac:dyDescent="0.2">
      <c r="B292" s="155"/>
      <c r="C292" s="235"/>
      <c r="D292" s="155"/>
      <c r="E292" s="155"/>
      <c r="F292" s="240">
        <f t="shared" si="8"/>
        <v>-1400</v>
      </c>
      <c r="G292" s="154">
        <f t="shared" si="9"/>
        <v>0</v>
      </c>
      <c r="H292" s="155"/>
      <c r="I292" s="155"/>
      <c r="J292" s="155"/>
      <c r="K292" s="201">
        <f t="shared" si="10"/>
        <v>0</v>
      </c>
      <c r="L292" s="155"/>
      <c r="M292" s="155"/>
    </row>
    <row r="293" spans="2:13" s="103" customFormat="1" x14ac:dyDescent="0.2">
      <c r="B293" s="155"/>
      <c r="C293" s="235"/>
      <c r="D293" s="155"/>
      <c r="E293" s="155"/>
      <c r="F293" s="240">
        <f t="shared" si="8"/>
        <v>-1400</v>
      </c>
      <c r="G293" s="154">
        <f t="shared" si="9"/>
        <v>0</v>
      </c>
      <c r="H293" s="155"/>
      <c r="I293" s="155"/>
      <c r="J293" s="155"/>
      <c r="K293" s="201">
        <f t="shared" si="10"/>
        <v>0</v>
      </c>
      <c r="L293" s="155"/>
      <c r="M293" s="155"/>
    </row>
    <row r="294" spans="2:13" s="103" customFormat="1" x14ac:dyDescent="0.2">
      <c r="B294" s="155"/>
      <c r="C294" s="235"/>
      <c r="D294" s="155"/>
      <c r="E294" s="155"/>
      <c r="F294" s="240">
        <f t="shared" si="8"/>
        <v>-1400</v>
      </c>
      <c r="G294" s="154">
        <f t="shared" si="9"/>
        <v>0</v>
      </c>
      <c r="H294" s="155"/>
      <c r="I294" s="155"/>
      <c r="J294" s="155"/>
      <c r="K294" s="201">
        <f t="shared" si="10"/>
        <v>0</v>
      </c>
      <c r="L294" s="155"/>
      <c r="M294" s="155"/>
    </row>
    <row r="295" spans="2:13" s="103" customFormat="1" x14ac:dyDescent="0.2">
      <c r="B295" s="155"/>
      <c r="C295" s="235"/>
      <c r="D295" s="155"/>
      <c r="E295" s="155"/>
      <c r="F295" s="240">
        <f t="shared" si="8"/>
        <v>-1400</v>
      </c>
      <c r="G295" s="154">
        <f t="shared" si="9"/>
        <v>0</v>
      </c>
      <c r="H295" s="155"/>
      <c r="I295" s="155"/>
      <c r="J295" s="155"/>
      <c r="K295" s="201">
        <f t="shared" si="10"/>
        <v>0</v>
      </c>
      <c r="L295" s="155"/>
      <c r="M295" s="155"/>
    </row>
    <row r="296" spans="2:13" s="103" customFormat="1" x14ac:dyDescent="0.2">
      <c r="B296" s="155"/>
      <c r="C296" s="235"/>
      <c r="D296" s="155"/>
      <c r="E296" s="155"/>
      <c r="F296" s="240">
        <f t="shared" si="8"/>
        <v>-1400</v>
      </c>
      <c r="G296" s="154">
        <f t="shared" si="9"/>
        <v>0</v>
      </c>
      <c r="H296" s="155"/>
      <c r="I296" s="155"/>
      <c r="J296" s="155"/>
      <c r="K296" s="201">
        <f t="shared" si="10"/>
        <v>0</v>
      </c>
      <c r="L296" s="155"/>
      <c r="M296" s="155"/>
    </row>
    <row r="297" spans="2:13" s="103" customFormat="1" x14ac:dyDescent="0.2">
      <c r="B297" s="155"/>
      <c r="C297" s="235"/>
      <c r="D297" s="155"/>
      <c r="E297" s="155"/>
      <c r="F297" s="240">
        <f t="shared" si="8"/>
        <v>-1400</v>
      </c>
      <c r="G297" s="154">
        <f t="shared" si="9"/>
        <v>0</v>
      </c>
      <c r="H297" s="155"/>
      <c r="I297" s="155"/>
      <c r="J297" s="155"/>
      <c r="K297" s="201">
        <f t="shared" si="10"/>
        <v>0</v>
      </c>
      <c r="L297" s="155"/>
      <c r="M297" s="155"/>
    </row>
    <row r="298" spans="2:13" s="103" customFormat="1" x14ac:dyDescent="0.2">
      <c r="B298" s="155"/>
      <c r="C298" s="235"/>
      <c r="D298" s="155"/>
      <c r="E298" s="155"/>
      <c r="F298" s="240">
        <f t="shared" si="8"/>
        <v>-1400</v>
      </c>
      <c r="G298" s="154">
        <f t="shared" si="9"/>
        <v>0</v>
      </c>
      <c r="H298" s="155"/>
      <c r="I298" s="155"/>
      <c r="J298" s="155"/>
      <c r="K298" s="201">
        <f t="shared" si="10"/>
        <v>0</v>
      </c>
      <c r="L298" s="155"/>
      <c r="M298" s="155"/>
    </row>
    <row r="299" spans="2:13" s="103" customFormat="1" x14ac:dyDescent="0.2">
      <c r="B299" s="155"/>
      <c r="C299" s="235"/>
      <c r="D299" s="155"/>
      <c r="E299" s="155"/>
      <c r="F299" s="240">
        <f t="shared" si="8"/>
        <v>-1400</v>
      </c>
      <c r="G299" s="154">
        <f t="shared" si="9"/>
        <v>0</v>
      </c>
      <c r="H299" s="155"/>
      <c r="I299" s="155"/>
      <c r="J299" s="155"/>
      <c r="K299" s="201">
        <f t="shared" si="10"/>
        <v>0</v>
      </c>
      <c r="L299" s="155"/>
      <c r="M299" s="155"/>
    </row>
    <row r="300" spans="2:13" s="103" customFormat="1" x14ac:dyDescent="0.2">
      <c r="B300" s="155"/>
      <c r="C300" s="235"/>
      <c r="D300" s="155"/>
      <c r="E300" s="155"/>
      <c r="F300" s="240">
        <f t="shared" si="8"/>
        <v>-1400</v>
      </c>
      <c r="G300" s="154">
        <f t="shared" si="9"/>
        <v>0</v>
      </c>
      <c r="H300" s="155"/>
      <c r="I300" s="155"/>
      <c r="J300" s="155"/>
      <c r="K300" s="201">
        <f t="shared" si="10"/>
        <v>0</v>
      </c>
      <c r="L300" s="155"/>
      <c r="M300" s="155"/>
    </row>
    <row r="301" spans="2:13" s="103" customFormat="1" x14ac:dyDescent="0.2">
      <c r="B301" s="155"/>
      <c r="C301" s="235"/>
      <c r="D301" s="155"/>
      <c r="E301" s="155"/>
      <c r="F301" s="240">
        <f t="shared" si="8"/>
        <v>-1400</v>
      </c>
      <c r="G301" s="154">
        <f t="shared" si="9"/>
        <v>0</v>
      </c>
      <c r="H301" s="155"/>
      <c r="I301" s="155"/>
      <c r="J301" s="155"/>
      <c r="K301" s="201">
        <f t="shared" si="10"/>
        <v>0</v>
      </c>
      <c r="L301" s="155"/>
      <c r="M301" s="155"/>
    </row>
    <row r="302" spans="2:13" s="103" customFormat="1" x14ac:dyDescent="0.2">
      <c r="B302" s="155"/>
      <c r="C302" s="235"/>
      <c r="D302" s="155"/>
      <c r="E302" s="155"/>
      <c r="F302" s="240">
        <f t="shared" si="8"/>
        <v>-1400</v>
      </c>
      <c r="G302" s="154">
        <f t="shared" si="9"/>
        <v>0</v>
      </c>
      <c r="H302" s="155"/>
      <c r="I302" s="155"/>
      <c r="J302" s="155"/>
      <c r="K302" s="201">
        <f t="shared" si="10"/>
        <v>0</v>
      </c>
      <c r="L302" s="155"/>
      <c r="M302" s="155"/>
    </row>
    <row r="303" spans="2:13" s="103" customFormat="1" x14ac:dyDescent="0.2">
      <c r="B303" s="155"/>
      <c r="C303" s="235"/>
      <c r="D303" s="155"/>
      <c r="E303" s="155"/>
      <c r="F303" s="240">
        <f t="shared" si="8"/>
        <v>-1400</v>
      </c>
      <c r="G303" s="154">
        <f t="shared" si="9"/>
        <v>0</v>
      </c>
      <c r="H303" s="155"/>
      <c r="I303" s="155"/>
      <c r="J303" s="155"/>
      <c r="K303" s="201">
        <f t="shared" si="10"/>
        <v>0</v>
      </c>
      <c r="L303" s="155"/>
      <c r="M303" s="155"/>
    </row>
    <row r="304" spans="2:13" s="103" customFormat="1" x14ac:dyDescent="0.2">
      <c r="B304" s="155"/>
      <c r="C304" s="235"/>
      <c r="D304" s="155"/>
      <c r="E304" s="155"/>
      <c r="F304" s="240">
        <f t="shared" si="8"/>
        <v>-1400</v>
      </c>
      <c r="G304" s="154">
        <f t="shared" si="9"/>
        <v>0</v>
      </c>
      <c r="H304" s="155"/>
      <c r="I304" s="155"/>
      <c r="J304" s="155"/>
      <c r="K304" s="201">
        <f t="shared" si="10"/>
        <v>0</v>
      </c>
      <c r="L304" s="155"/>
      <c r="M304" s="155"/>
    </row>
    <row r="305" spans="1:21" s="108" customFormat="1" ht="16" thickBot="1" x14ac:dyDescent="0.25">
      <c r="A305" s="103"/>
      <c r="B305" s="155"/>
      <c r="C305" s="235"/>
      <c r="D305" s="155"/>
      <c r="E305" s="155"/>
      <c r="F305" s="240">
        <f t="shared" si="8"/>
        <v>-1400</v>
      </c>
      <c r="G305" s="154">
        <f t="shared" si="9"/>
        <v>0</v>
      </c>
      <c r="H305" s="155"/>
      <c r="I305" s="155"/>
      <c r="J305" s="155"/>
      <c r="K305" s="201">
        <f t="shared" si="10"/>
        <v>0</v>
      </c>
      <c r="L305" s="155"/>
      <c r="M305" s="155"/>
      <c r="N305" s="239"/>
      <c r="O305" s="239"/>
      <c r="P305" s="239"/>
      <c r="Q305" s="239"/>
      <c r="R305" s="239"/>
      <c r="S305" s="239"/>
      <c r="T305" s="239"/>
      <c r="U305" s="239"/>
    </row>
    <row r="306" spans="1:21" ht="17" thickBot="1" x14ac:dyDescent="0.25">
      <c r="A306" s="236" t="s">
        <v>1071</v>
      </c>
      <c r="B306" s="238"/>
      <c r="C306" s="237"/>
      <c r="D306" s="158"/>
    </row>
    <row r="307" spans="1:21" ht="17" thickBot="1" x14ac:dyDescent="0.25">
      <c r="A307" s="236" t="s">
        <v>1071</v>
      </c>
      <c r="B307" s="155"/>
      <c r="C307" s="235"/>
      <c r="D307" s="155"/>
    </row>
    <row r="308" spans="1:21" ht="17" thickBot="1" x14ac:dyDescent="0.25">
      <c r="A308" s="236" t="s">
        <v>1071</v>
      </c>
      <c r="B308" s="155"/>
      <c r="C308" s="235"/>
      <c r="D308" s="155"/>
    </row>
    <row r="309" spans="1:21" ht="17" thickBot="1" x14ac:dyDescent="0.25">
      <c r="A309" s="236" t="s">
        <v>1071</v>
      </c>
      <c r="B309" s="155"/>
      <c r="C309" s="235"/>
      <c r="D309" s="155"/>
    </row>
    <row r="310" spans="1:21" ht="17" thickBot="1" x14ac:dyDescent="0.25">
      <c r="A310" s="236" t="s">
        <v>1071</v>
      </c>
      <c r="B310" s="155"/>
      <c r="C310" s="235"/>
      <c r="D310" s="155"/>
    </row>
    <row r="311" spans="1:21" ht="17" thickBot="1" x14ac:dyDescent="0.25">
      <c r="A311" s="236" t="s">
        <v>1071</v>
      </c>
      <c r="B311" s="155"/>
      <c r="C311" s="235"/>
      <c r="D311" s="155"/>
    </row>
    <row r="312" spans="1:21" ht="17" thickBot="1" x14ac:dyDescent="0.25">
      <c r="A312" s="236" t="s">
        <v>1071</v>
      </c>
      <c r="B312" s="155"/>
      <c r="C312" s="235"/>
      <c r="D312" s="155"/>
    </row>
    <row r="313" spans="1:21" ht="17" thickBot="1" x14ac:dyDescent="0.25">
      <c r="A313" s="236" t="s">
        <v>1071</v>
      </c>
      <c r="B313" s="155"/>
      <c r="C313" s="235"/>
      <c r="D313" s="155"/>
    </row>
    <row r="314" spans="1:21" ht="17" thickBot="1" x14ac:dyDescent="0.25">
      <c r="A314" s="236" t="s">
        <v>1071</v>
      </c>
      <c r="B314" s="155"/>
      <c r="C314" s="235"/>
      <c r="D314" s="234"/>
    </row>
    <row r="315" spans="1:21" ht="16.5" customHeight="1" x14ac:dyDescent="0.2">
      <c r="A315" s="213" t="s">
        <v>1072</v>
      </c>
      <c r="B315" s="164">
        <f>SUM(B280:B314)+SUM(B253:B278)+SUM(B227:B251)+SUM(B211:B225)+SUM(B161:B178)+SUM(B43:B159)+SUM(B22:B41)</f>
        <v>1</v>
      </c>
      <c r="C315" s="233"/>
      <c r="D315" s="232">
        <f>SUM(D280:D314)+SUM(D253:D278)+SUM(D227:D251)+SUM(D211:D225)+SUM(D161:D178)+SUM(D43:D159)</f>
        <v>0</v>
      </c>
      <c r="E315" s="230" t="s">
        <v>1073</v>
      </c>
      <c r="F315" s="150"/>
      <c r="G315" s="150"/>
      <c r="H315" s="150"/>
      <c r="I315" s="150"/>
      <c r="J315" s="150"/>
      <c r="K315" s="150"/>
      <c r="L315" s="150"/>
      <c r="M315" s="150"/>
    </row>
    <row r="316" spans="1:21" ht="16" thickBot="1" x14ac:dyDescent="0.25">
      <c r="D316" s="231">
        <f>D315/B315</f>
        <v>0</v>
      </c>
      <c r="E316" s="230" t="s">
        <v>1074</v>
      </c>
      <c r="J316" s="150"/>
      <c r="K316" s="150"/>
      <c r="L316" s="150"/>
      <c r="M316" s="150"/>
    </row>
    <row r="318" spans="1:21" s="99" customFormat="1" ht="20" thickBot="1" x14ac:dyDescent="0.25">
      <c r="A318" s="229" t="s">
        <v>1075</v>
      </c>
      <c r="B318" s="106"/>
      <c r="C318" s="106"/>
      <c r="D318" s="106"/>
      <c r="E318" s="106"/>
      <c r="F318" s="106"/>
      <c r="G318" s="106"/>
      <c r="H318" s="106"/>
      <c r="I318" s="106"/>
      <c r="J318" s="106"/>
      <c r="K318" s="106"/>
      <c r="L318" s="106"/>
      <c r="M318" s="106"/>
      <c r="N318" s="106"/>
      <c r="O318" s="106"/>
      <c r="P318" s="106"/>
      <c r="Q318" s="106"/>
      <c r="R318" s="106"/>
      <c r="S318" s="106"/>
      <c r="T318" s="106"/>
      <c r="U318" s="106"/>
    </row>
    <row r="319" spans="1:21" ht="16" thickBot="1" x14ac:dyDescent="0.25"/>
    <row r="320" spans="1:21" ht="33" thickBot="1" x14ac:dyDescent="0.25">
      <c r="A320" s="163" t="s">
        <v>1076</v>
      </c>
      <c r="B320" s="162" t="s">
        <v>1077</v>
      </c>
      <c r="C320" s="228" t="s">
        <v>1078</v>
      </c>
      <c r="D320" s="227" t="s">
        <v>1079</v>
      </c>
      <c r="E320" s="227" t="s">
        <v>1080</v>
      </c>
      <c r="F320" s="226" t="s">
        <v>1081</v>
      </c>
    </row>
    <row r="321" spans="1:21" x14ac:dyDescent="0.2">
      <c r="B321" s="158"/>
      <c r="C321" s="225">
        <f>B321-500</f>
        <v>-500</v>
      </c>
      <c r="D321" s="158"/>
      <c r="E321" s="158"/>
      <c r="F321" s="158"/>
    </row>
    <row r="322" spans="1:21" ht="16" thickBot="1" x14ac:dyDescent="0.25"/>
    <row r="323" spans="1:21" ht="17" thickBot="1" x14ac:dyDescent="0.25">
      <c r="B323" s="162" t="s">
        <v>1082</v>
      </c>
      <c r="C323" s="161" t="s">
        <v>1083</v>
      </c>
      <c r="D323" s="161" t="s">
        <v>1037</v>
      </c>
      <c r="E323" s="161" t="s">
        <v>1084</v>
      </c>
      <c r="F323" s="169" t="s">
        <v>1085</v>
      </c>
    </row>
    <row r="324" spans="1:21" x14ac:dyDescent="0.2">
      <c r="B324" s="158"/>
      <c r="C324" s="158"/>
      <c r="D324" s="158"/>
      <c r="E324" s="158"/>
      <c r="F324" s="158"/>
    </row>
    <row r="325" spans="1:21" ht="16" thickBot="1" x14ac:dyDescent="0.25">
      <c r="A325" s="106"/>
      <c r="B325" s="106"/>
      <c r="C325" s="106"/>
      <c r="D325" s="106"/>
      <c r="E325" s="106"/>
      <c r="F325" s="106"/>
      <c r="G325" s="106"/>
      <c r="H325" s="106"/>
      <c r="I325" s="106"/>
      <c r="J325" s="106"/>
      <c r="K325" s="106"/>
      <c r="L325" s="106"/>
      <c r="M325" s="106"/>
      <c r="N325" s="106"/>
      <c r="O325" s="106"/>
      <c r="P325" s="106"/>
      <c r="Q325" s="106"/>
      <c r="R325" s="106"/>
      <c r="S325" s="106"/>
      <c r="T325" s="106"/>
      <c r="U325" s="106"/>
    </row>
    <row r="326" spans="1:21" ht="16" thickBot="1" x14ac:dyDescent="0.25"/>
    <row r="327" spans="1:21" ht="49" thickBot="1" x14ac:dyDescent="0.25">
      <c r="A327" s="224" t="s">
        <v>970</v>
      </c>
      <c r="B327" s="223" t="s">
        <v>1086</v>
      </c>
      <c r="C327" s="218">
        <f>C331+C332+C333+C334+C335</f>
        <v>0</v>
      </c>
      <c r="D327" s="103" t="s">
        <v>1087</v>
      </c>
    </row>
    <row r="328" spans="1:21" ht="32" x14ac:dyDescent="0.2">
      <c r="B328" s="217" t="s">
        <v>1088</v>
      </c>
      <c r="C328" s="222">
        <f>IF(B5&gt;2000,7500+(B5-2000)*2,IF(B5&gt;500,3000+(B5-500)*3,IF(B5&gt;100,1400+(B5-100)*4,1400)))</f>
        <v>1400</v>
      </c>
    </row>
    <row r="329" spans="1:21" ht="32" x14ac:dyDescent="0.2">
      <c r="B329" s="221" t="s">
        <v>1089</v>
      </c>
      <c r="C329" s="220">
        <f>C327-C328</f>
        <v>-1400</v>
      </c>
      <c r="E329" s="219"/>
      <c r="F329" s="219"/>
      <c r="G329" s="219"/>
    </row>
    <row r="330" spans="1:21" ht="32" x14ac:dyDescent="0.2">
      <c r="B330" s="217" t="s">
        <v>1090</v>
      </c>
      <c r="C330" s="218" t="str">
        <f>IF(C329&gt;0,"Yes","No")</f>
        <v>No</v>
      </c>
    </row>
    <row r="331" spans="1:21" ht="16" x14ac:dyDescent="0.2">
      <c r="B331" s="217" t="s">
        <v>1091</v>
      </c>
      <c r="C331" s="215"/>
    </row>
    <row r="332" spans="1:21" ht="16" x14ac:dyDescent="0.2">
      <c r="B332" s="217" t="s">
        <v>1092</v>
      </c>
      <c r="C332" s="215"/>
    </row>
    <row r="333" spans="1:21" ht="16" x14ac:dyDescent="0.2">
      <c r="B333" s="217" t="s">
        <v>1093</v>
      </c>
      <c r="C333" s="215"/>
    </row>
    <row r="334" spans="1:21" ht="16" x14ac:dyDescent="0.2">
      <c r="B334" s="217" t="s">
        <v>1094</v>
      </c>
      <c r="C334" s="215"/>
    </row>
    <row r="335" spans="1:21" ht="16" x14ac:dyDescent="0.2">
      <c r="B335" s="217" t="s">
        <v>1095</v>
      </c>
      <c r="C335" s="215"/>
    </row>
    <row r="336" spans="1:21" ht="32" x14ac:dyDescent="0.2">
      <c r="B336" s="217" t="s">
        <v>1096</v>
      </c>
      <c r="C336" s="215"/>
    </row>
    <row r="337" spans="1:21" ht="16" x14ac:dyDescent="0.2">
      <c r="B337" s="217" t="s">
        <v>1097</v>
      </c>
      <c r="C337" s="215"/>
    </row>
    <row r="338" spans="1:21" ht="17" thickBot="1" x14ac:dyDescent="0.25">
      <c r="B338" s="216" t="s">
        <v>1098</v>
      </c>
      <c r="C338" s="215"/>
    </row>
    <row r="339" spans="1:21" ht="16" thickBot="1" x14ac:dyDescent="0.25">
      <c r="A339" s="106"/>
      <c r="B339" s="106"/>
      <c r="C339" s="106"/>
      <c r="D339" s="106"/>
      <c r="E339" s="106"/>
      <c r="F339" s="106"/>
      <c r="G339" s="106"/>
      <c r="H339" s="106"/>
      <c r="I339" s="106"/>
      <c r="J339" s="106"/>
      <c r="K339" s="106"/>
      <c r="L339" s="106"/>
      <c r="M339" s="106"/>
      <c r="N339" s="106"/>
      <c r="O339" s="106"/>
      <c r="P339" s="106"/>
      <c r="Q339" s="106"/>
      <c r="R339" s="106"/>
      <c r="S339" s="106"/>
      <c r="T339" s="106"/>
      <c r="U339" s="106"/>
    </row>
    <row r="340" spans="1:21" ht="16" thickBot="1" x14ac:dyDescent="0.25"/>
    <row r="341" spans="1:21" ht="15.75" customHeight="1" thickBot="1" x14ac:dyDescent="0.25">
      <c r="A341" s="163" t="s">
        <v>1099</v>
      </c>
      <c r="B341" s="927" t="s">
        <v>1100</v>
      </c>
      <c r="C341" s="928"/>
      <c r="D341" s="928"/>
      <c r="E341" s="928"/>
      <c r="F341" s="929" t="s">
        <v>1101</v>
      </c>
      <c r="G341" s="908"/>
      <c r="H341" s="908"/>
      <c r="I341" s="908"/>
      <c r="L341" s="150"/>
    </row>
    <row r="342" spans="1:21" ht="45" customHeight="1" x14ac:dyDescent="0.2">
      <c r="B342" s="212" t="s">
        <v>1102</v>
      </c>
      <c r="C342" s="212" t="s">
        <v>1103</v>
      </c>
      <c r="D342" s="211" t="s">
        <v>1104</v>
      </c>
      <c r="E342" s="214" t="s">
        <v>1105</v>
      </c>
      <c r="F342" s="213" t="s">
        <v>1102</v>
      </c>
      <c r="G342" s="212" t="s">
        <v>1106</v>
      </c>
      <c r="H342" s="211" t="s">
        <v>1107</v>
      </c>
      <c r="I342" s="211" t="s">
        <v>1108</v>
      </c>
    </row>
    <row r="343" spans="1:21" x14ac:dyDescent="0.2">
      <c r="B343" s="155"/>
      <c r="C343" s="154">
        <f>10*E343</f>
        <v>0</v>
      </c>
      <c r="D343" s="201">
        <f>B343-C343</f>
        <v>0</v>
      </c>
      <c r="E343" s="210"/>
      <c r="F343" s="209"/>
      <c r="G343" s="154">
        <f>0.5*E343</f>
        <v>0</v>
      </c>
      <c r="H343" s="201">
        <f>F343-G343</f>
        <v>0</v>
      </c>
      <c r="I343" s="155"/>
    </row>
    <row r="344" spans="1:21" ht="22.5" customHeight="1" x14ac:dyDescent="0.2">
      <c r="B344" s="208" t="s">
        <v>1109</v>
      </c>
      <c r="C344" s="930" t="s">
        <v>1110</v>
      </c>
      <c r="D344" s="930"/>
      <c r="E344" s="206"/>
      <c r="F344" s="207"/>
      <c r="G344" s="931" t="s">
        <v>1111</v>
      </c>
      <c r="H344" s="930"/>
      <c r="I344" s="206"/>
      <c r="L344" s="206"/>
    </row>
    <row r="346" spans="1:21" x14ac:dyDescent="0.2">
      <c r="B346" s="932" t="s">
        <v>1112</v>
      </c>
      <c r="C346" s="928"/>
      <c r="D346" s="928"/>
      <c r="E346" s="928"/>
      <c r="F346" s="933"/>
      <c r="G346" s="934" t="s">
        <v>1113</v>
      </c>
      <c r="H346" s="928"/>
      <c r="I346" s="935"/>
      <c r="L346" s="150"/>
    </row>
    <row r="347" spans="1:21" ht="45" customHeight="1" x14ac:dyDescent="0.2">
      <c r="B347" s="204" t="s">
        <v>1102</v>
      </c>
      <c r="C347" s="204" t="s">
        <v>1114</v>
      </c>
      <c r="D347" s="205" t="s">
        <v>1107</v>
      </c>
      <c r="E347" s="204" t="s">
        <v>1115</v>
      </c>
      <c r="F347" s="203" t="s">
        <v>1116</v>
      </c>
      <c r="G347" s="202" t="s">
        <v>1117</v>
      </c>
      <c r="H347" s="202" t="s">
        <v>1118</v>
      </c>
      <c r="I347" s="173" t="s">
        <v>1119</v>
      </c>
      <c r="J347" s="197"/>
    </row>
    <row r="348" spans="1:21" ht="15" customHeight="1" x14ac:dyDescent="0.2">
      <c r="B348" s="155"/>
      <c r="C348" s="154">
        <f>ROUND(F348*3.5,0)</f>
        <v>0</v>
      </c>
      <c r="D348" s="201">
        <f>B348-C348</f>
        <v>0</v>
      </c>
      <c r="E348" s="154">
        <f>C350+C351+C352+C353</f>
        <v>0</v>
      </c>
      <c r="F348" s="200">
        <f>B5*1.25</f>
        <v>0</v>
      </c>
      <c r="G348" s="199" t="s">
        <v>1120</v>
      </c>
      <c r="H348" s="198" t="s">
        <v>1120</v>
      </c>
      <c r="I348" s="198" t="s">
        <v>1120</v>
      </c>
      <c r="J348" s="938" t="s">
        <v>1121</v>
      </c>
      <c r="K348" s="939"/>
      <c r="L348" s="939"/>
      <c r="M348" s="197"/>
      <c r="N348" s="197"/>
    </row>
    <row r="349" spans="1:21" ht="38.25" customHeight="1" x14ac:dyDescent="0.2">
      <c r="B349" s="196"/>
      <c r="C349" s="930" t="s">
        <v>1122</v>
      </c>
      <c r="D349" s="930"/>
      <c r="E349" s="195" t="s">
        <v>1123</v>
      </c>
      <c r="F349" s="194" t="s">
        <v>1124</v>
      </c>
    </row>
    <row r="350" spans="1:21" ht="16" x14ac:dyDescent="0.2">
      <c r="B350" s="190" t="s">
        <v>1125</v>
      </c>
      <c r="C350" s="155"/>
    </row>
    <row r="351" spans="1:21" ht="16" x14ac:dyDescent="0.2">
      <c r="B351" s="190" t="s">
        <v>1126</v>
      </c>
      <c r="C351" s="155"/>
    </row>
    <row r="352" spans="1:21" ht="16" x14ac:dyDescent="0.2">
      <c r="B352" s="190" t="s">
        <v>1127</v>
      </c>
      <c r="C352" s="155"/>
      <c r="K352" s="172"/>
    </row>
    <row r="353" spans="1:21" ht="16" x14ac:dyDescent="0.2">
      <c r="B353" s="190" t="s">
        <v>1128</v>
      </c>
      <c r="C353" s="155"/>
    </row>
    <row r="354" spans="1:21" ht="16" thickBot="1" x14ac:dyDescent="0.25">
      <c r="A354" s="106"/>
      <c r="B354" s="106"/>
      <c r="C354" s="106"/>
      <c r="D354" s="106"/>
      <c r="E354" s="106"/>
      <c r="F354" s="106"/>
      <c r="G354" s="106"/>
      <c r="H354" s="106"/>
      <c r="I354" s="106"/>
      <c r="J354" s="106"/>
      <c r="K354" s="106"/>
      <c r="L354" s="106"/>
      <c r="M354" s="106"/>
      <c r="N354" s="106"/>
      <c r="O354" s="106"/>
      <c r="P354" s="106"/>
      <c r="Q354" s="106"/>
      <c r="R354" s="106"/>
      <c r="S354" s="106"/>
      <c r="T354" s="106"/>
      <c r="U354" s="106"/>
    </row>
    <row r="355" spans="1:21" ht="15.75" customHeight="1" thickBot="1" x14ac:dyDescent="0.25">
      <c r="B355" s="150"/>
      <c r="C355" s="150"/>
      <c r="D355" s="150"/>
      <c r="E355" s="150"/>
      <c r="F355" s="150"/>
      <c r="G355" s="150"/>
      <c r="H355" s="150"/>
      <c r="I355" s="150"/>
      <c r="J355" s="150"/>
      <c r="K355" s="150"/>
      <c r="P355" s="191"/>
      <c r="Q355" s="191"/>
      <c r="R355" s="191"/>
      <c r="S355" s="191"/>
    </row>
    <row r="356" spans="1:21" ht="33" thickBot="1" x14ac:dyDescent="0.25">
      <c r="A356" s="163" t="s">
        <v>1129</v>
      </c>
      <c r="B356" s="193" t="s">
        <v>1130</v>
      </c>
      <c r="C356" s="161" t="s">
        <v>1131</v>
      </c>
      <c r="D356" s="161" t="s">
        <v>1132</v>
      </c>
      <c r="E356" s="161" t="s">
        <v>1133</v>
      </c>
      <c r="F356" s="161" t="s">
        <v>1134</v>
      </c>
      <c r="G356" s="161" t="s">
        <v>1135</v>
      </c>
      <c r="H356" s="161" t="s">
        <v>1136</v>
      </c>
      <c r="I356" s="161" t="s">
        <v>1137</v>
      </c>
      <c r="J356" s="161" t="s">
        <v>1138</v>
      </c>
      <c r="K356" s="169" t="s">
        <v>1139</v>
      </c>
      <c r="P356" s="191"/>
      <c r="Q356" s="191"/>
      <c r="R356" s="191"/>
      <c r="S356" s="191"/>
    </row>
    <row r="357" spans="1:21" ht="15.75" customHeight="1" x14ac:dyDescent="0.2">
      <c r="A357" s="891" t="s">
        <v>1140</v>
      </c>
      <c r="B357" s="158"/>
      <c r="C357" s="158"/>
      <c r="D357" s="158"/>
      <c r="E357" s="158"/>
      <c r="F357" s="158"/>
      <c r="G357" s="158"/>
      <c r="H357" s="158"/>
      <c r="I357" s="158"/>
      <c r="J357" s="158"/>
      <c r="K357" s="158"/>
      <c r="P357" s="191"/>
      <c r="Q357" s="191"/>
      <c r="R357" s="191"/>
      <c r="S357" s="191"/>
    </row>
    <row r="358" spans="1:21" ht="16" x14ac:dyDescent="0.2">
      <c r="A358" s="937"/>
      <c r="B358" s="155"/>
      <c r="C358" s="155"/>
      <c r="D358" s="155"/>
      <c r="E358" s="155"/>
      <c r="F358" s="155"/>
      <c r="G358" s="155"/>
      <c r="H358" s="155"/>
      <c r="I358" s="155"/>
      <c r="J358" s="155"/>
      <c r="K358" s="155"/>
      <c r="L358" s="192"/>
      <c r="M358" s="192"/>
      <c r="N358" s="192"/>
      <c r="P358" s="191"/>
      <c r="Q358" s="191"/>
      <c r="R358" s="191"/>
      <c r="S358" s="191"/>
    </row>
    <row r="359" spans="1:21" ht="15.75" customHeight="1" x14ac:dyDescent="0.2">
      <c r="A359" s="937"/>
      <c r="B359" s="155"/>
      <c r="C359" s="155"/>
      <c r="D359" s="155"/>
      <c r="E359" s="155"/>
      <c r="F359" s="155"/>
      <c r="G359" s="155"/>
      <c r="H359" s="155"/>
      <c r="I359" s="155"/>
      <c r="J359" s="155"/>
      <c r="K359" s="155"/>
      <c r="P359" s="191"/>
      <c r="Q359" s="191"/>
      <c r="R359" s="191"/>
      <c r="S359" s="191"/>
    </row>
    <row r="360" spans="1:21" ht="16" x14ac:dyDescent="0.2">
      <c r="A360" s="937" t="s">
        <v>1141</v>
      </c>
      <c r="B360" s="155"/>
      <c r="C360" s="155"/>
      <c r="D360" s="155"/>
      <c r="E360" s="155"/>
      <c r="F360" s="155"/>
      <c r="G360" s="155"/>
      <c r="H360" s="155"/>
      <c r="I360" s="155"/>
      <c r="J360" s="155"/>
      <c r="K360" s="155"/>
      <c r="P360" s="191"/>
      <c r="Q360" s="191"/>
      <c r="R360" s="191"/>
      <c r="S360" s="191"/>
    </row>
    <row r="361" spans="1:21" x14ac:dyDescent="0.2">
      <c r="A361" s="937"/>
      <c r="B361" s="155"/>
      <c r="C361" s="155"/>
      <c r="D361" s="155"/>
      <c r="E361" s="155"/>
      <c r="F361" s="155"/>
      <c r="G361" s="155"/>
      <c r="H361" s="155"/>
      <c r="I361" s="155"/>
      <c r="J361" s="155"/>
      <c r="K361" s="155"/>
    </row>
    <row r="362" spans="1:21" x14ac:dyDescent="0.2">
      <c r="A362" s="937"/>
      <c r="B362" s="155"/>
      <c r="C362" s="155"/>
      <c r="D362" s="155"/>
      <c r="E362" s="155"/>
      <c r="F362" s="155"/>
      <c r="G362" s="155"/>
      <c r="H362" s="155"/>
      <c r="I362" s="155"/>
      <c r="J362" s="155"/>
      <c r="K362" s="155"/>
    </row>
    <row r="363" spans="1:21" x14ac:dyDescent="0.2">
      <c r="A363" s="937" t="s">
        <v>1142</v>
      </c>
      <c r="B363" s="155"/>
      <c r="C363" s="155"/>
      <c r="D363" s="155"/>
      <c r="E363" s="155"/>
      <c r="F363" s="155"/>
      <c r="G363" s="155"/>
      <c r="H363" s="155"/>
      <c r="I363" s="155"/>
      <c r="J363" s="155"/>
      <c r="K363" s="155"/>
    </row>
    <row r="364" spans="1:21" x14ac:dyDescent="0.2">
      <c r="A364" s="937"/>
      <c r="B364" s="155"/>
      <c r="C364" s="155"/>
      <c r="D364" s="155"/>
      <c r="E364" s="155"/>
      <c r="F364" s="155"/>
      <c r="G364" s="155"/>
      <c r="H364" s="155"/>
      <c r="I364" s="155"/>
      <c r="J364" s="155"/>
      <c r="K364" s="155"/>
    </row>
    <row r="365" spans="1:21" x14ac:dyDescent="0.2">
      <c r="A365" s="937"/>
      <c r="B365" s="155"/>
      <c r="C365" s="155"/>
      <c r="D365" s="155"/>
      <c r="E365" s="155"/>
      <c r="F365" s="155"/>
      <c r="G365" s="155"/>
      <c r="H365" s="155"/>
      <c r="I365" s="155"/>
      <c r="J365" s="155"/>
      <c r="K365" s="155"/>
    </row>
    <row r="366" spans="1:21" x14ac:dyDescent="0.2">
      <c r="A366" s="937" t="s">
        <v>1143</v>
      </c>
      <c r="B366" s="155"/>
      <c r="C366" s="155"/>
      <c r="D366" s="155"/>
      <c r="E366" s="155"/>
      <c r="F366" s="155"/>
      <c r="G366" s="155"/>
      <c r="H366" s="155"/>
      <c r="I366" s="155"/>
      <c r="J366" s="155"/>
      <c r="K366" s="155"/>
    </row>
    <row r="367" spans="1:21" x14ac:dyDescent="0.2">
      <c r="A367" s="937"/>
      <c r="B367" s="155"/>
      <c r="C367" s="155"/>
      <c r="D367" s="155"/>
      <c r="E367" s="155"/>
      <c r="F367" s="155"/>
      <c r="G367" s="155"/>
      <c r="H367" s="155"/>
      <c r="I367" s="155"/>
      <c r="J367" s="155"/>
      <c r="K367" s="155"/>
    </row>
    <row r="368" spans="1:21" x14ac:dyDescent="0.2">
      <c r="A368" s="937"/>
      <c r="B368" s="155"/>
      <c r="C368" s="155"/>
      <c r="D368" s="155"/>
      <c r="E368" s="155"/>
      <c r="F368" s="155"/>
      <c r="G368" s="155"/>
      <c r="H368" s="155"/>
      <c r="I368" s="155"/>
      <c r="J368" s="155"/>
      <c r="K368" s="155"/>
    </row>
    <row r="369" spans="1:11" s="103" customFormat="1" ht="16" x14ac:dyDescent="0.2">
      <c r="A369" s="190" t="s">
        <v>1144</v>
      </c>
      <c r="B369" s="155"/>
      <c r="C369" s="155"/>
      <c r="D369" s="155"/>
      <c r="E369" s="155"/>
      <c r="F369" s="155"/>
      <c r="G369" s="155"/>
      <c r="H369" s="155"/>
      <c r="I369" s="155"/>
      <c r="J369" s="155"/>
      <c r="K369" s="155"/>
    </row>
    <row r="370" spans="1:11" s="103" customFormat="1" x14ac:dyDescent="0.2">
      <c r="B370" s="155"/>
      <c r="C370" s="155"/>
      <c r="D370" s="155"/>
      <c r="E370" s="155"/>
      <c r="F370" s="155"/>
      <c r="G370" s="155"/>
      <c r="H370" s="155"/>
      <c r="I370" s="155"/>
      <c r="J370" s="155"/>
      <c r="K370" s="155"/>
    </row>
    <row r="371" spans="1:11" s="103" customFormat="1" x14ac:dyDescent="0.2">
      <c r="B371" s="155"/>
      <c r="C371" s="155"/>
      <c r="D371" s="155"/>
      <c r="E371" s="155"/>
      <c r="F371" s="155"/>
      <c r="G371" s="155"/>
      <c r="H371" s="155"/>
      <c r="I371" s="155"/>
      <c r="J371" s="155"/>
      <c r="K371" s="155"/>
    </row>
    <row r="372" spans="1:11" s="103" customFormat="1" x14ac:dyDescent="0.2">
      <c r="B372" s="155"/>
      <c r="C372" s="155"/>
      <c r="D372" s="155"/>
      <c r="E372" s="155"/>
      <c r="F372" s="155"/>
      <c r="G372" s="155"/>
      <c r="H372" s="155"/>
      <c r="I372" s="155"/>
      <c r="J372" s="155"/>
      <c r="K372" s="155"/>
    </row>
    <row r="373" spans="1:11" s="103" customFormat="1" x14ac:dyDescent="0.2">
      <c r="B373" s="155"/>
      <c r="C373" s="155"/>
      <c r="D373" s="155"/>
      <c r="E373" s="155"/>
      <c r="F373" s="155"/>
      <c r="G373" s="155"/>
      <c r="H373" s="155"/>
      <c r="I373" s="155"/>
      <c r="J373" s="155"/>
      <c r="K373" s="155"/>
    </row>
    <row r="374" spans="1:11" s="103" customFormat="1" x14ac:dyDescent="0.2">
      <c r="B374" s="155"/>
      <c r="C374" s="155"/>
      <c r="D374" s="155"/>
      <c r="E374" s="155"/>
      <c r="F374" s="155"/>
      <c r="G374" s="155"/>
      <c r="H374" s="155"/>
      <c r="I374" s="155"/>
      <c r="J374" s="155"/>
      <c r="K374" s="155"/>
    </row>
    <row r="375" spans="1:11" s="103" customFormat="1" x14ac:dyDescent="0.2">
      <c r="B375" s="155"/>
      <c r="C375" s="155"/>
      <c r="D375" s="155"/>
      <c r="E375" s="155"/>
      <c r="F375" s="155"/>
      <c r="G375" s="155"/>
      <c r="H375" s="155"/>
      <c r="I375" s="155"/>
      <c r="J375" s="155"/>
      <c r="K375" s="155"/>
    </row>
    <row r="376" spans="1:11" s="103" customFormat="1" ht="16" thickBot="1" x14ac:dyDescent="0.25">
      <c r="B376" s="189"/>
      <c r="C376" s="189"/>
      <c r="D376" s="189"/>
      <c r="E376" s="189"/>
      <c r="F376" s="189"/>
      <c r="G376" s="189"/>
      <c r="H376" s="189"/>
      <c r="I376" s="189"/>
      <c r="J376" s="189"/>
      <c r="K376" s="189"/>
    </row>
    <row r="377" spans="1:11" s="103" customFormat="1" ht="17" thickTop="1" x14ac:dyDescent="0.2">
      <c r="B377" s="185" t="s">
        <v>1145</v>
      </c>
      <c r="C377" s="188">
        <f>SUM(C357:C376)</f>
        <v>0</v>
      </c>
      <c r="D377" s="186">
        <f>SUM(D357:D376)</f>
        <v>0</v>
      </c>
      <c r="E377" s="187">
        <f>SUM(E357:E376)</f>
        <v>0</v>
      </c>
      <c r="F377" s="186">
        <f>SUM(F357:F376)</f>
        <v>0</v>
      </c>
      <c r="G377" s="185">
        <f>SUM(G357:G376)</f>
        <v>0</v>
      </c>
      <c r="H377" s="184"/>
      <c r="I377" s="184"/>
      <c r="J377" s="184"/>
      <c r="K377" s="184"/>
    </row>
    <row r="378" spans="1:11" s="103" customFormat="1" ht="32" x14ac:dyDescent="0.2">
      <c r="B378" s="183" t="s">
        <v>1146</v>
      </c>
      <c r="C378" s="182">
        <f>(C377+(F377*0.5)-(B5*0.5)/50)</f>
        <v>0</v>
      </c>
      <c r="D378" s="170">
        <f>D377-(B5*0.5)/100</f>
        <v>0</v>
      </c>
      <c r="E378" s="181">
        <f>(E377+(F377*0.5)-(B5*0.5)/30)</f>
        <v>0</v>
      </c>
      <c r="F378" s="181"/>
      <c r="G378" s="180">
        <f>G377-(B5/40)</f>
        <v>0</v>
      </c>
      <c r="H378" s="179"/>
      <c r="I378" s="179"/>
      <c r="J378" s="179"/>
      <c r="K378" s="179"/>
    </row>
    <row r="379" spans="1:11" s="103" customFormat="1" ht="16" thickBot="1" x14ac:dyDescent="0.25"/>
    <row r="380" spans="1:11" s="103" customFormat="1" ht="33" thickBot="1" x14ac:dyDescent="0.25">
      <c r="A380" s="163" t="s">
        <v>1147</v>
      </c>
      <c r="B380" s="173" t="s">
        <v>1148</v>
      </c>
      <c r="C380" s="173" t="s">
        <v>1149</v>
      </c>
      <c r="D380" s="173" t="s">
        <v>1132</v>
      </c>
      <c r="E380" s="173" t="s">
        <v>1150</v>
      </c>
      <c r="F380" s="173" t="s">
        <v>1134</v>
      </c>
      <c r="G380" s="173" t="s">
        <v>1135</v>
      </c>
      <c r="H380" s="173" t="s">
        <v>1136</v>
      </c>
      <c r="I380" s="173" t="s">
        <v>1137</v>
      </c>
      <c r="J380" s="173" t="s">
        <v>1138</v>
      </c>
      <c r="K380" s="173" t="s">
        <v>1139</v>
      </c>
    </row>
    <row r="381" spans="1:11" s="103" customFormat="1" x14ac:dyDescent="0.2">
      <c r="B381" s="155"/>
      <c r="C381" s="155"/>
      <c r="D381" s="155"/>
      <c r="E381" s="155"/>
      <c r="F381" s="155"/>
      <c r="G381" s="155"/>
      <c r="H381" s="155"/>
      <c r="I381" s="155"/>
      <c r="J381" s="155"/>
      <c r="K381" s="155"/>
    </row>
    <row r="382" spans="1:11" s="103" customFormat="1" x14ac:dyDescent="0.2">
      <c r="B382" s="155"/>
      <c r="C382" s="155"/>
      <c r="D382" s="155"/>
      <c r="E382" s="155"/>
      <c r="F382" s="155"/>
      <c r="G382" s="155"/>
      <c r="H382" s="155"/>
      <c r="I382" s="155"/>
      <c r="J382" s="155"/>
      <c r="K382" s="155"/>
    </row>
    <row r="383" spans="1:11" s="103" customFormat="1" x14ac:dyDescent="0.2">
      <c r="B383" s="155"/>
      <c r="C383" s="155"/>
      <c r="D383" s="155"/>
      <c r="E383" s="155"/>
      <c r="F383" s="155"/>
      <c r="G383" s="155"/>
      <c r="H383" s="155"/>
      <c r="I383" s="155"/>
      <c r="J383" s="155"/>
      <c r="K383" s="155"/>
    </row>
    <row r="384" spans="1:11" s="103" customFormat="1" x14ac:dyDescent="0.2">
      <c r="B384" s="155"/>
      <c r="C384" s="155"/>
      <c r="D384" s="155"/>
      <c r="E384" s="155"/>
      <c r="F384" s="155"/>
      <c r="G384" s="155"/>
      <c r="H384" s="155"/>
      <c r="I384" s="155"/>
      <c r="J384" s="155"/>
      <c r="K384" s="155"/>
    </row>
    <row r="385" spans="1:13" s="103" customFormat="1" x14ac:dyDescent="0.2">
      <c r="B385" s="155"/>
      <c r="C385" s="155"/>
      <c r="D385" s="155"/>
      <c r="E385" s="155"/>
      <c r="F385" s="155"/>
      <c r="G385" s="155"/>
      <c r="H385" s="155"/>
      <c r="I385" s="155"/>
      <c r="J385" s="155"/>
      <c r="K385" s="155"/>
    </row>
    <row r="386" spans="1:13" s="103" customFormat="1" x14ac:dyDescent="0.2">
      <c r="B386" s="155"/>
      <c r="C386" s="155"/>
      <c r="D386" s="155"/>
      <c r="E386" s="155"/>
      <c r="F386" s="155"/>
      <c r="G386" s="155"/>
      <c r="H386" s="155"/>
      <c r="I386" s="155"/>
      <c r="J386" s="155"/>
      <c r="K386" s="155"/>
    </row>
    <row r="387" spans="1:13" s="103" customFormat="1" x14ac:dyDescent="0.2">
      <c r="B387" s="155"/>
      <c r="C387" s="155"/>
      <c r="D387" s="155"/>
      <c r="E387" s="155"/>
      <c r="F387" s="155"/>
      <c r="G387" s="155"/>
      <c r="H387" s="155"/>
      <c r="I387" s="155"/>
      <c r="J387" s="155"/>
      <c r="K387" s="155"/>
    </row>
    <row r="388" spans="1:13" s="103" customFormat="1" x14ac:dyDescent="0.2">
      <c r="B388" s="155"/>
      <c r="C388" s="155"/>
      <c r="D388" s="155"/>
      <c r="E388" s="155"/>
      <c r="F388" s="155"/>
      <c r="G388" s="155"/>
      <c r="H388" s="155"/>
      <c r="I388" s="155"/>
      <c r="J388" s="155"/>
      <c r="K388" s="155"/>
    </row>
    <row r="389" spans="1:13" s="103" customFormat="1" x14ac:dyDescent="0.2">
      <c r="B389" s="155"/>
      <c r="C389" s="155"/>
      <c r="D389" s="155"/>
      <c r="E389" s="155"/>
      <c r="F389" s="155"/>
      <c r="G389" s="155"/>
      <c r="H389" s="155"/>
      <c r="I389" s="155"/>
      <c r="J389" s="155"/>
      <c r="K389" s="155"/>
    </row>
    <row r="390" spans="1:13" s="103" customFormat="1" x14ac:dyDescent="0.2">
      <c r="B390" s="155"/>
      <c r="C390" s="155"/>
      <c r="D390" s="155"/>
      <c r="E390" s="155"/>
      <c r="F390" s="155"/>
      <c r="G390" s="155"/>
      <c r="H390" s="155"/>
      <c r="I390" s="155"/>
      <c r="J390" s="155"/>
      <c r="K390" s="155"/>
    </row>
    <row r="391" spans="1:13" s="103" customFormat="1" ht="16" x14ac:dyDescent="0.2">
      <c r="B391" s="178" t="s">
        <v>1145</v>
      </c>
      <c r="C391" s="177">
        <f>SUM(C381:C390)</f>
        <v>0</v>
      </c>
      <c r="D391" s="151">
        <f>SUM(D381:D390)</f>
        <v>0</v>
      </c>
      <c r="E391" s="176">
        <f>SUM(E381:E390)</f>
        <v>0</v>
      </c>
      <c r="F391" s="151">
        <f>SUM(F381:F390)</f>
        <v>0</v>
      </c>
      <c r="G391" s="175">
        <f>SUM(G381:G390)</f>
        <v>0</v>
      </c>
      <c r="H391" s="174"/>
      <c r="I391" s="150"/>
      <c r="J391" s="150"/>
      <c r="K391" s="150"/>
    </row>
    <row r="392" spans="1:13" s="103" customFormat="1" ht="16" thickBot="1" x14ac:dyDescent="0.25"/>
    <row r="393" spans="1:13" s="103" customFormat="1" ht="33" thickBot="1" x14ac:dyDescent="0.25">
      <c r="A393" s="163" t="s">
        <v>1151</v>
      </c>
      <c r="B393" s="173" t="s">
        <v>1152</v>
      </c>
      <c r="C393" s="173" t="s">
        <v>1153</v>
      </c>
      <c r="D393" s="173" t="s">
        <v>1154</v>
      </c>
      <c r="E393" s="936" t="s">
        <v>1155</v>
      </c>
      <c r="F393" s="905"/>
      <c r="G393" s="905"/>
      <c r="H393" s="172"/>
      <c r="I393" s="172"/>
      <c r="J393" s="172"/>
      <c r="K393" s="172"/>
      <c r="L393" s="172"/>
      <c r="M393" s="172"/>
    </row>
    <row r="394" spans="1:13" s="103" customFormat="1" x14ac:dyDescent="0.2">
      <c r="B394" s="155"/>
      <c r="C394" s="155"/>
      <c r="D394" s="155"/>
    </row>
    <row r="395" spans="1:13" s="103" customFormat="1" x14ac:dyDescent="0.2">
      <c r="B395" s="155"/>
      <c r="C395" s="155"/>
      <c r="D395" s="155"/>
      <c r="G395" s="150"/>
    </row>
    <row r="396" spans="1:13" s="103" customFormat="1" x14ac:dyDescent="0.2">
      <c r="B396" s="155"/>
      <c r="C396" s="155"/>
      <c r="D396" s="155"/>
    </row>
    <row r="397" spans="1:13" s="103" customFormat="1" x14ac:dyDescent="0.2">
      <c r="B397" s="155"/>
      <c r="C397" s="155"/>
      <c r="D397" s="155"/>
    </row>
    <row r="398" spans="1:13" s="103" customFormat="1" x14ac:dyDescent="0.2">
      <c r="B398" s="155"/>
      <c r="C398" s="155"/>
      <c r="D398" s="155"/>
    </row>
    <row r="399" spans="1:13" s="103" customFormat="1" x14ac:dyDescent="0.2">
      <c r="B399" s="155"/>
      <c r="C399" s="155"/>
      <c r="D399" s="155"/>
    </row>
    <row r="400" spans="1:13" s="103" customFormat="1" x14ac:dyDescent="0.2">
      <c r="B400" s="155"/>
      <c r="C400" s="155"/>
      <c r="D400" s="155"/>
    </row>
    <row r="401" spans="1:21" x14ac:dyDescent="0.2">
      <c r="B401" s="155"/>
      <c r="C401" s="155"/>
      <c r="D401" s="155"/>
    </row>
    <row r="402" spans="1:21" x14ac:dyDescent="0.2">
      <c r="B402" s="155"/>
      <c r="C402" s="155"/>
      <c r="D402" s="155"/>
    </row>
    <row r="403" spans="1:21" x14ac:dyDescent="0.2">
      <c r="B403" s="155"/>
      <c r="C403" s="155"/>
      <c r="D403" s="155"/>
    </row>
    <row r="404" spans="1:21" x14ac:dyDescent="0.2">
      <c r="B404" s="155"/>
      <c r="C404" s="155"/>
      <c r="D404" s="155"/>
    </row>
    <row r="405" spans="1:21" x14ac:dyDescent="0.2">
      <c r="B405" s="155"/>
      <c r="C405" s="155"/>
      <c r="D405" s="155"/>
    </row>
    <row r="406" spans="1:21" x14ac:dyDescent="0.2">
      <c r="B406" s="155"/>
      <c r="C406" s="155"/>
      <c r="D406" s="155"/>
    </row>
    <row r="407" spans="1:21" x14ac:dyDescent="0.2">
      <c r="B407" s="155"/>
      <c r="C407" s="155"/>
      <c r="D407" s="155"/>
    </row>
    <row r="408" spans="1:21" ht="16" x14ac:dyDescent="0.2">
      <c r="B408" s="155"/>
      <c r="C408" s="155"/>
      <c r="D408" s="155"/>
      <c r="K408" s="103" t="s">
        <v>1156</v>
      </c>
    </row>
    <row r="409" spans="1:21" x14ac:dyDescent="0.2">
      <c r="B409" s="155"/>
      <c r="C409" s="155"/>
      <c r="D409" s="155"/>
    </row>
    <row r="410" spans="1:21" x14ac:dyDescent="0.2">
      <c r="B410" s="155"/>
      <c r="C410" s="155"/>
      <c r="D410" s="155"/>
    </row>
    <row r="411" spans="1:21" x14ac:dyDescent="0.2">
      <c r="B411" s="155"/>
      <c r="C411" s="155"/>
      <c r="D411" s="155"/>
    </row>
    <row r="412" spans="1:21" x14ac:dyDescent="0.2">
      <c r="B412" s="155"/>
      <c r="C412" s="155"/>
      <c r="D412" s="155"/>
    </row>
    <row r="413" spans="1:21" x14ac:dyDescent="0.2">
      <c r="B413" s="155"/>
      <c r="C413" s="155"/>
      <c r="D413" s="155"/>
    </row>
    <row r="414" spans="1:21" ht="16" x14ac:dyDescent="0.2">
      <c r="B414" s="164" t="s">
        <v>1145</v>
      </c>
      <c r="C414" s="164">
        <f>SUM(C394:C413)</f>
        <v>0</v>
      </c>
      <c r="D414" s="164">
        <f>SUM(D394:D413)</f>
        <v>0</v>
      </c>
    </row>
    <row r="415" spans="1:21" ht="32" x14ac:dyDescent="0.2">
      <c r="B415" s="171" t="s">
        <v>1157</v>
      </c>
      <c r="C415" s="170">
        <f>C414-(B5/150)</f>
        <v>0</v>
      </c>
      <c r="D415" s="170">
        <f>IF(D414-(0.5*C414)=0.5,0,(D414-(0.5*C414)))</f>
        <v>0</v>
      </c>
    </row>
    <row r="416" spans="1:21" ht="16" thickBot="1" x14ac:dyDescent="0.25">
      <c r="A416" s="106"/>
      <c r="B416" s="106"/>
      <c r="C416" s="106"/>
      <c r="D416" s="106"/>
      <c r="E416" s="106"/>
      <c r="F416" s="106"/>
      <c r="G416" s="106"/>
      <c r="H416" s="106"/>
      <c r="I416" s="106"/>
      <c r="J416" s="106"/>
      <c r="K416" s="106"/>
      <c r="L416" s="106"/>
      <c r="M416" s="106"/>
      <c r="N416" s="106"/>
      <c r="O416" s="106"/>
      <c r="P416" s="106"/>
      <c r="Q416" s="106"/>
      <c r="R416" s="106"/>
      <c r="S416" s="106"/>
      <c r="T416" s="106"/>
      <c r="U416" s="106"/>
    </row>
    <row r="417" spans="1:21" ht="16" thickBot="1" x14ac:dyDescent="0.25"/>
    <row r="418" spans="1:21" ht="17" thickBot="1" x14ac:dyDescent="0.25">
      <c r="A418" s="163" t="s">
        <v>1158</v>
      </c>
      <c r="B418" s="162" t="s">
        <v>1024</v>
      </c>
      <c r="C418" s="161" t="s">
        <v>1077</v>
      </c>
      <c r="D418" s="169" t="s">
        <v>1159</v>
      </c>
    </row>
    <row r="419" spans="1:21" ht="22.5" customHeight="1" x14ac:dyDescent="0.2">
      <c r="A419" s="168"/>
      <c r="B419" s="158"/>
      <c r="C419" s="158"/>
      <c r="D419" s="158"/>
      <c r="G419" s="150"/>
    </row>
    <row r="420" spans="1:21" x14ac:dyDescent="0.2">
      <c r="B420" s="155"/>
      <c r="C420" s="155"/>
      <c r="D420" s="155"/>
    </row>
    <row r="421" spans="1:21" x14ac:dyDescent="0.2">
      <c r="B421" s="155"/>
      <c r="C421" s="155"/>
      <c r="D421" s="155"/>
    </row>
    <row r="422" spans="1:21" x14ac:dyDescent="0.2">
      <c r="B422" s="155"/>
      <c r="C422" s="155"/>
      <c r="D422" s="155"/>
    </row>
    <row r="423" spans="1:21" x14ac:dyDescent="0.2">
      <c r="B423" s="155"/>
      <c r="C423" s="155"/>
      <c r="D423" s="155"/>
    </row>
    <row r="424" spans="1:21" x14ac:dyDescent="0.2">
      <c r="B424" s="155"/>
      <c r="C424" s="155"/>
      <c r="D424" s="155"/>
    </row>
    <row r="425" spans="1:21" x14ac:dyDescent="0.2">
      <c r="B425" s="155"/>
      <c r="C425" s="155"/>
      <c r="D425" s="155"/>
    </row>
    <row r="426" spans="1:21" x14ac:dyDescent="0.2">
      <c r="B426" s="155"/>
      <c r="C426" s="155"/>
      <c r="D426" s="155"/>
    </row>
    <row r="427" spans="1:21" x14ac:dyDescent="0.2">
      <c r="B427" s="155"/>
      <c r="C427" s="155"/>
      <c r="D427" s="155"/>
    </row>
    <row r="428" spans="1:21" x14ac:dyDescent="0.2">
      <c r="B428" s="155"/>
      <c r="C428" s="155"/>
      <c r="D428" s="155"/>
    </row>
    <row r="429" spans="1:21" ht="16" x14ac:dyDescent="0.2">
      <c r="B429" s="150" t="s">
        <v>1160</v>
      </c>
      <c r="C429" s="166">
        <f>SUM(C419:C428)</f>
        <v>0</v>
      </c>
    </row>
    <row r="430" spans="1:21" ht="32" x14ac:dyDescent="0.2">
      <c r="B430" s="150" t="s">
        <v>1161</v>
      </c>
      <c r="C430" s="166">
        <f>B5*20</f>
        <v>0</v>
      </c>
    </row>
    <row r="431" spans="1:21" ht="16" x14ac:dyDescent="0.2">
      <c r="B431" s="167" t="s">
        <v>1162</v>
      </c>
      <c r="C431" s="166">
        <f>C429-C430</f>
        <v>0</v>
      </c>
    </row>
    <row r="432" spans="1:21" ht="16" thickBot="1" x14ac:dyDescent="0.25">
      <c r="A432" s="106"/>
      <c r="B432" s="106"/>
      <c r="C432" s="106"/>
      <c r="D432" s="106"/>
      <c r="E432" s="106"/>
      <c r="F432" s="106"/>
      <c r="G432" s="106"/>
      <c r="H432" s="106"/>
      <c r="I432" s="106"/>
      <c r="J432" s="106"/>
      <c r="K432" s="106"/>
      <c r="L432" s="106"/>
      <c r="M432" s="106"/>
      <c r="N432" s="106"/>
      <c r="O432" s="106"/>
      <c r="P432" s="106"/>
      <c r="Q432" s="106"/>
      <c r="R432" s="106"/>
      <c r="S432" s="106"/>
      <c r="T432" s="106"/>
      <c r="U432" s="106"/>
    </row>
    <row r="433" spans="1:13" s="103" customFormat="1" ht="16" thickBot="1" x14ac:dyDescent="0.25"/>
    <row r="434" spans="1:13" s="103" customFormat="1" ht="24.75" customHeight="1" thickBot="1" x14ac:dyDescent="0.25">
      <c r="A434" s="163" t="s">
        <v>1163</v>
      </c>
      <c r="B434" s="162" t="s">
        <v>414</v>
      </c>
      <c r="C434" s="161" t="s">
        <v>1164</v>
      </c>
      <c r="D434" s="161" t="s">
        <v>954</v>
      </c>
      <c r="E434" s="161" t="s">
        <v>1165</v>
      </c>
      <c r="F434" s="161" t="s">
        <v>1166</v>
      </c>
      <c r="G434" s="161" t="s">
        <v>1167</v>
      </c>
      <c r="H434" s="161" t="s">
        <v>1168</v>
      </c>
      <c r="I434" s="161" t="s">
        <v>459</v>
      </c>
      <c r="J434" s="161" t="s">
        <v>1169</v>
      </c>
      <c r="K434" s="161" t="s">
        <v>1170</v>
      </c>
      <c r="L434" s="160" t="s">
        <v>1171</v>
      </c>
      <c r="M434" s="159" t="s">
        <v>1172</v>
      </c>
    </row>
    <row r="435" spans="1:13" s="103" customFormat="1" ht="16" x14ac:dyDescent="0.2">
      <c r="A435" s="103" t="s">
        <v>1173</v>
      </c>
      <c r="B435" s="158"/>
      <c r="C435" s="158"/>
      <c r="D435" s="158"/>
      <c r="E435" s="158"/>
      <c r="F435" s="158"/>
      <c r="G435" s="158"/>
      <c r="H435" s="158"/>
      <c r="I435" s="158"/>
      <c r="J435" s="158"/>
      <c r="K435" s="157" t="b">
        <f t="shared" ref="K435:K444" si="11">IF(C435&gt;1000,20+((C435-1000)*0.01),IF(C435&gt;500,C435*0.02,IF(C435&gt;400,9,IF(C435&gt;300,8,IF(C435&gt;200,7,IF(C435&gt;150,6,IF(C435&gt;100,5,IF(C435&gt;76,4,IF(C435&gt;51,3,IF(C435&gt;26,2,IF(C435&gt;0,1)))))))))))</f>
        <v>0</v>
      </c>
      <c r="L435" s="156">
        <f t="shared" ref="L435:L444" si="12">IF(K435&lt;6,1,K435/6)</f>
        <v>0</v>
      </c>
      <c r="M435" s="156">
        <f t="shared" ref="M435:M444" si="13">ROUNDUP(L435, 0)</f>
        <v>0</v>
      </c>
    </row>
    <row r="436" spans="1:13" s="103" customFormat="1" x14ac:dyDescent="0.2">
      <c r="B436" s="155"/>
      <c r="C436" s="155"/>
      <c r="D436" s="155"/>
      <c r="E436" s="155"/>
      <c r="F436" s="155"/>
      <c r="G436" s="155"/>
      <c r="H436" s="155"/>
      <c r="I436" s="155"/>
      <c r="J436" s="155"/>
      <c r="K436" s="154" t="b">
        <f t="shared" si="11"/>
        <v>0</v>
      </c>
      <c r="L436" s="153">
        <f t="shared" si="12"/>
        <v>0</v>
      </c>
      <c r="M436" s="153">
        <f t="shared" si="13"/>
        <v>0</v>
      </c>
    </row>
    <row r="437" spans="1:13" s="103" customFormat="1" x14ac:dyDescent="0.2">
      <c r="B437" s="155"/>
      <c r="C437" s="155"/>
      <c r="D437" s="155"/>
      <c r="E437" s="155"/>
      <c r="F437" s="155"/>
      <c r="G437" s="155"/>
      <c r="H437" s="155"/>
      <c r="I437" s="155"/>
      <c r="J437" s="155"/>
      <c r="K437" s="154" t="b">
        <f t="shared" si="11"/>
        <v>0</v>
      </c>
      <c r="L437" s="153">
        <f t="shared" si="12"/>
        <v>0</v>
      </c>
      <c r="M437" s="153">
        <f t="shared" si="13"/>
        <v>0</v>
      </c>
    </row>
    <row r="438" spans="1:13" s="103" customFormat="1" x14ac:dyDescent="0.2">
      <c r="B438" s="155"/>
      <c r="C438" s="155"/>
      <c r="D438" s="155"/>
      <c r="E438" s="155"/>
      <c r="F438" s="155"/>
      <c r="G438" s="155"/>
      <c r="H438" s="155"/>
      <c r="I438" s="155"/>
      <c r="J438" s="155"/>
      <c r="K438" s="154" t="b">
        <f t="shared" si="11"/>
        <v>0</v>
      </c>
      <c r="L438" s="153">
        <f t="shared" si="12"/>
        <v>0</v>
      </c>
      <c r="M438" s="153">
        <f t="shared" si="13"/>
        <v>0</v>
      </c>
    </row>
    <row r="439" spans="1:13" s="103" customFormat="1" x14ac:dyDescent="0.2">
      <c r="B439" s="155"/>
      <c r="C439" s="155"/>
      <c r="D439" s="155"/>
      <c r="E439" s="155"/>
      <c r="F439" s="155"/>
      <c r="G439" s="155"/>
      <c r="H439" s="155"/>
      <c r="I439" s="155"/>
      <c r="J439" s="155"/>
      <c r="K439" s="154" t="b">
        <f t="shared" si="11"/>
        <v>0</v>
      </c>
      <c r="L439" s="153">
        <f t="shared" si="12"/>
        <v>0</v>
      </c>
      <c r="M439" s="153">
        <f t="shared" si="13"/>
        <v>0</v>
      </c>
    </row>
    <row r="440" spans="1:13" s="103" customFormat="1" x14ac:dyDescent="0.2">
      <c r="B440" s="155"/>
      <c r="C440" s="155"/>
      <c r="D440" s="155"/>
      <c r="E440" s="155"/>
      <c r="F440" s="155"/>
      <c r="G440" s="155"/>
      <c r="H440" s="155"/>
      <c r="I440" s="155"/>
      <c r="J440" s="155"/>
      <c r="K440" s="154" t="b">
        <f t="shared" si="11"/>
        <v>0</v>
      </c>
      <c r="L440" s="153">
        <f t="shared" si="12"/>
        <v>0</v>
      </c>
      <c r="M440" s="153">
        <f t="shared" si="13"/>
        <v>0</v>
      </c>
    </row>
    <row r="441" spans="1:13" s="103" customFormat="1" x14ac:dyDescent="0.2">
      <c r="B441" s="155"/>
      <c r="C441" s="155"/>
      <c r="D441" s="155"/>
      <c r="E441" s="155"/>
      <c r="F441" s="155"/>
      <c r="G441" s="155"/>
      <c r="H441" s="155"/>
      <c r="I441" s="155"/>
      <c r="J441" s="155"/>
      <c r="K441" s="154" t="b">
        <f t="shared" si="11"/>
        <v>0</v>
      </c>
      <c r="L441" s="153">
        <f t="shared" si="12"/>
        <v>0</v>
      </c>
      <c r="M441" s="153">
        <f t="shared" si="13"/>
        <v>0</v>
      </c>
    </row>
    <row r="442" spans="1:13" s="103" customFormat="1" x14ac:dyDescent="0.2">
      <c r="B442" s="155"/>
      <c r="C442" s="155"/>
      <c r="D442" s="155"/>
      <c r="E442" s="155"/>
      <c r="F442" s="155"/>
      <c r="G442" s="155"/>
      <c r="H442" s="155"/>
      <c r="I442" s="155"/>
      <c r="J442" s="155"/>
      <c r="K442" s="154" t="b">
        <f t="shared" si="11"/>
        <v>0</v>
      </c>
      <c r="L442" s="153">
        <f t="shared" si="12"/>
        <v>0</v>
      </c>
      <c r="M442" s="153">
        <f t="shared" si="13"/>
        <v>0</v>
      </c>
    </row>
    <row r="443" spans="1:13" s="103" customFormat="1" x14ac:dyDescent="0.2">
      <c r="B443" s="155"/>
      <c r="C443" s="155"/>
      <c r="D443" s="155"/>
      <c r="E443" s="155"/>
      <c r="F443" s="155"/>
      <c r="G443" s="155"/>
      <c r="H443" s="155"/>
      <c r="I443" s="155"/>
      <c r="J443" s="155"/>
      <c r="K443" s="154" t="b">
        <f t="shared" si="11"/>
        <v>0</v>
      </c>
      <c r="L443" s="153">
        <f t="shared" si="12"/>
        <v>0</v>
      </c>
      <c r="M443" s="153">
        <f t="shared" si="13"/>
        <v>0</v>
      </c>
    </row>
    <row r="444" spans="1:13" s="103" customFormat="1" x14ac:dyDescent="0.2">
      <c r="B444" s="155"/>
      <c r="C444" s="155"/>
      <c r="D444" s="155"/>
      <c r="E444" s="155"/>
      <c r="F444" s="155"/>
      <c r="G444" s="155"/>
      <c r="H444" s="155"/>
      <c r="I444" s="155"/>
      <c r="J444" s="155"/>
      <c r="K444" s="154" t="b">
        <f t="shared" si="11"/>
        <v>0</v>
      </c>
      <c r="L444" s="153">
        <f t="shared" si="12"/>
        <v>0</v>
      </c>
      <c r="M444" s="153">
        <f t="shared" si="13"/>
        <v>0</v>
      </c>
    </row>
    <row r="445" spans="1:13" s="103" customFormat="1" ht="16" x14ac:dyDescent="0.2">
      <c r="B445" s="151" t="s">
        <v>1160</v>
      </c>
      <c r="C445" s="152">
        <f>SUM(C435:C444)</f>
        <v>0</v>
      </c>
      <c r="D445" s="151">
        <f>SUM(D435:D444)</f>
        <v>0</v>
      </c>
      <c r="E445" s="151">
        <f>SUM(E435:E444)</f>
        <v>0</v>
      </c>
      <c r="F445" s="150"/>
    </row>
    <row r="446" spans="1:13" s="103" customFormat="1" ht="48" x14ac:dyDescent="0.2">
      <c r="B446" s="164" t="s">
        <v>1174</v>
      </c>
      <c r="C446" s="148">
        <f>B4+(0.05*B5)</f>
        <v>0</v>
      </c>
      <c r="D446" s="165">
        <f>SUM(K435:K444)</f>
        <v>0</v>
      </c>
      <c r="E446" s="148">
        <f>SUM(M435:M444)</f>
        <v>0</v>
      </c>
      <c r="F446" s="147"/>
      <c r="G446" s="146">
        <f>IF(D446&lt;8,1,D446/8)</f>
        <v>1</v>
      </c>
    </row>
    <row r="447" spans="1:13" s="103" customFormat="1" ht="16" x14ac:dyDescent="0.2">
      <c r="B447" s="164" t="s">
        <v>1162</v>
      </c>
      <c r="C447" s="104">
        <f>C445-C446</f>
        <v>0</v>
      </c>
      <c r="D447" s="104">
        <f>D445-D446</f>
        <v>0</v>
      </c>
      <c r="E447" s="104">
        <f>E445-E446</f>
        <v>0</v>
      </c>
      <c r="F447" s="105"/>
    </row>
    <row r="448" spans="1:13" s="103" customFormat="1" ht="16" thickBot="1" x14ac:dyDescent="0.25"/>
    <row r="449" spans="1:21" ht="24.75" customHeight="1" thickBot="1" x14ac:dyDescent="0.25">
      <c r="A449" s="163" t="s">
        <v>1175</v>
      </c>
      <c r="B449" s="162" t="s">
        <v>414</v>
      </c>
      <c r="C449" s="161" t="s">
        <v>1164</v>
      </c>
      <c r="D449" s="161" t="s">
        <v>954</v>
      </c>
      <c r="E449" s="161" t="s">
        <v>1165</v>
      </c>
      <c r="F449" s="161" t="s">
        <v>1166</v>
      </c>
      <c r="G449" s="161" t="s">
        <v>1167</v>
      </c>
      <c r="H449" s="161" t="s">
        <v>1168</v>
      </c>
      <c r="I449" s="161" t="s">
        <v>459</v>
      </c>
      <c r="J449" s="161" t="s">
        <v>1169</v>
      </c>
      <c r="K449" s="161" t="s">
        <v>1170</v>
      </c>
      <c r="L449" s="160" t="s">
        <v>1171</v>
      </c>
      <c r="M449" s="159" t="s">
        <v>1172</v>
      </c>
    </row>
    <row r="450" spans="1:21" ht="16" x14ac:dyDescent="0.2">
      <c r="A450" s="103" t="s">
        <v>1176</v>
      </c>
      <c r="B450" s="158"/>
      <c r="C450" s="158"/>
      <c r="D450" s="158"/>
      <c r="E450" s="158"/>
      <c r="F450" s="158"/>
      <c r="G450" s="158"/>
      <c r="H450" s="158"/>
      <c r="I450" s="158"/>
      <c r="J450" s="158"/>
      <c r="K450" s="157" t="b">
        <f t="shared" ref="K450:K459" si="14">IF(C450&gt;1000,20+((C450-1000)*0.01),IF(C450&gt;500,C450*0.02,IF(C450&gt;400,9,IF(C450&gt;300,8,IF(C450&gt;200,7,IF(C450&gt;150,6,IF(C450&gt;100,5,IF(C450&gt;76,4,IF(C450&gt;51,3,IF(C450&gt;26,2,IF(C450&gt;0,1)))))))))))</f>
        <v>0</v>
      </c>
      <c r="L450" s="156">
        <f t="shared" ref="L450:L459" si="15">IF(K450&lt;6,1,K450/6)</f>
        <v>0</v>
      </c>
      <c r="M450" s="156">
        <f t="shared" ref="M450:M459" si="16">ROUNDUP(L450, 0)</f>
        <v>0</v>
      </c>
    </row>
    <row r="451" spans="1:21" x14ac:dyDescent="0.2">
      <c r="B451" s="155"/>
      <c r="C451" s="155"/>
      <c r="D451" s="155"/>
      <c r="E451" s="155"/>
      <c r="F451" s="155"/>
      <c r="G451" s="155"/>
      <c r="H451" s="155"/>
      <c r="I451" s="155"/>
      <c r="J451" s="155"/>
      <c r="K451" s="154" t="b">
        <f t="shared" si="14"/>
        <v>0</v>
      </c>
      <c r="L451" s="153">
        <f t="shared" si="15"/>
        <v>0</v>
      </c>
      <c r="M451" s="153">
        <f t="shared" si="16"/>
        <v>0</v>
      </c>
    </row>
    <row r="452" spans="1:21" x14ac:dyDescent="0.2">
      <c r="B452" s="155"/>
      <c r="C452" s="155"/>
      <c r="D452" s="155"/>
      <c r="E452" s="155"/>
      <c r="F452" s="155"/>
      <c r="G452" s="155"/>
      <c r="H452" s="155"/>
      <c r="I452" s="155"/>
      <c r="J452" s="155"/>
      <c r="K452" s="154" t="b">
        <f t="shared" si="14"/>
        <v>0</v>
      </c>
      <c r="L452" s="153">
        <f t="shared" si="15"/>
        <v>0</v>
      </c>
      <c r="M452" s="153">
        <f t="shared" si="16"/>
        <v>0</v>
      </c>
    </row>
    <row r="453" spans="1:21" x14ac:dyDescent="0.2">
      <c r="B453" s="155"/>
      <c r="C453" s="155"/>
      <c r="D453" s="155"/>
      <c r="E453" s="155"/>
      <c r="F453" s="155"/>
      <c r="G453" s="155"/>
      <c r="H453" s="155"/>
      <c r="I453" s="155"/>
      <c r="J453" s="155"/>
      <c r="K453" s="154" t="b">
        <f t="shared" si="14"/>
        <v>0</v>
      </c>
      <c r="L453" s="153">
        <f t="shared" si="15"/>
        <v>0</v>
      </c>
      <c r="M453" s="153">
        <f t="shared" si="16"/>
        <v>0</v>
      </c>
    </row>
    <row r="454" spans="1:21" x14ac:dyDescent="0.2">
      <c r="B454" s="155"/>
      <c r="C454" s="155"/>
      <c r="D454" s="155"/>
      <c r="E454" s="155"/>
      <c r="F454" s="155"/>
      <c r="G454" s="155"/>
      <c r="H454" s="155"/>
      <c r="I454" s="155"/>
      <c r="J454" s="155"/>
      <c r="K454" s="154" t="b">
        <f t="shared" si="14"/>
        <v>0</v>
      </c>
      <c r="L454" s="153">
        <f t="shared" si="15"/>
        <v>0</v>
      </c>
      <c r="M454" s="153">
        <f t="shared" si="16"/>
        <v>0</v>
      </c>
    </row>
    <row r="455" spans="1:21" x14ac:dyDescent="0.2">
      <c r="B455" s="155"/>
      <c r="C455" s="155"/>
      <c r="D455" s="155"/>
      <c r="E455" s="155"/>
      <c r="F455" s="155"/>
      <c r="G455" s="155"/>
      <c r="H455" s="155"/>
      <c r="I455" s="155"/>
      <c r="J455" s="155"/>
      <c r="K455" s="154" t="b">
        <f t="shared" si="14"/>
        <v>0</v>
      </c>
      <c r="L455" s="153">
        <f t="shared" si="15"/>
        <v>0</v>
      </c>
      <c r="M455" s="153">
        <f t="shared" si="16"/>
        <v>0</v>
      </c>
    </row>
    <row r="456" spans="1:21" x14ac:dyDescent="0.2">
      <c r="B456" s="155"/>
      <c r="C456" s="155"/>
      <c r="D456" s="155"/>
      <c r="E456" s="155"/>
      <c r="F456" s="155"/>
      <c r="G456" s="155"/>
      <c r="H456" s="155"/>
      <c r="I456" s="155"/>
      <c r="J456" s="155"/>
      <c r="K456" s="154" t="b">
        <f t="shared" si="14"/>
        <v>0</v>
      </c>
      <c r="L456" s="153">
        <f t="shared" si="15"/>
        <v>0</v>
      </c>
      <c r="M456" s="153">
        <f t="shared" si="16"/>
        <v>0</v>
      </c>
    </row>
    <row r="457" spans="1:21" x14ac:dyDescent="0.2">
      <c r="B457" s="155"/>
      <c r="C457" s="155"/>
      <c r="D457" s="155"/>
      <c r="E457" s="155"/>
      <c r="F457" s="155"/>
      <c r="G457" s="155"/>
      <c r="H457" s="155"/>
      <c r="I457" s="155"/>
      <c r="J457" s="155"/>
      <c r="K457" s="154" t="b">
        <f t="shared" si="14"/>
        <v>0</v>
      </c>
      <c r="L457" s="153">
        <f t="shared" si="15"/>
        <v>0</v>
      </c>
      <c r="M457" s="153">
        <f t="shared" si="16"/>
        <v>0</v>
      </c>
    </row>
    <row r="458" spans="1:21" x14ac:dyDescent="0.2">
      <c r="B458" s="155"/>
      <c r="C458" s="155"/>
      <c r="D458" s="155"/>
      <c r="E458" s="155"/>
      <c r="F458" s="155"/>
      <c r="G458" s="155"/>
      <c r="H458" s="155"/>
      <c r="I458" s="155"/>
      <c r="J458" s="155"/>
      <c r="K458" s="154" t="b">
        <f t="shared" si="14"/>
        <v>0</v>
      </c>
      <c r="L458" s="153">
        <f t="shared" si="15"/>
        <v>0</v>
      </c>
      <c r="M458" s="153">
        <f t="shared" si="16"/>
        <v>0</v>
      </c>
    </row>
    <row r="459" spans="1:21" x14ac:dyDescent="0.2">
      <c r="B459" s="155"/>
      <c r="C459" s="155"/>
      <c r="D459" s="155"/>
      <c r="E459" s="155"/>
      <c r="F459" s="155"/>
      <c r="G459" s="155"/>
      <c r="H459" s="155"/>
      <c r="I459" s="155"/>
      <c r="J459" s="155"/>
      <c r="K459" s="154" t="b">
        <f t="shared" si="14"/>
        <v>0</v>
      </c>
      <c r="L459" s="153">
        <f t="shared" si="15"/>
        <v>0</v>
      </c>
      <c r="M459" s="153">
        <f t="shared" si="16"/>
        <v>0</v>
      </c>
    </row>
    <row r="460" spans="1:21" ht="16" x14ac:dyDescent="0.2">
      <c r="B460" s="151" t="s">
        <v>1160</v>
      </c>
      <c r="C460" s="152">
        <f>SUM(C450:C459)</f>
        <v>0</v>
      </c>
      <c r="D460" s="151">
        <f>SUM(D450:D459)</f>
        <v>0</v>
      </c>
      <c r="E460" s="151">
        <f>SUM(E450:E459)</f>
        <v>0</v>
      </c>
      <c r="F460" s="150"/>
    </row>
    <row r="461" spans="1:21" ht="48" x14ac:dyDescent="0.2">
      <c r="B461" s="145" t="s">
        <v>1174</v>
      </c>
      <c r="C461" s="148">
        <f>B4+(0.25*B5)</f>
        <v>0</v>
      </c>
      <c r="D461" s="149">
        <f>SUM(K450:K459)</f>
        <v>0</v>
      </c>
      <c r="E461" s="148">
        <f>SUM(M450:M459)</f>
        <v>0</v>
      </c>
      <c r="F461" s="147"/>
      <c r="G461" s="146">
        <f>IF(D461&lt;8,1,D461/8)</f>
        <v>1</v>
      </c>
    </row>
    <row r="462" spans="1:21" ht="16" x14ac:dyDescent="0.2">
      <c r="B462" s="145" t="s">
        <v>1162</v>
      </c>
      <c r="C462" s="104">
        <f>C460-C461</f>
        <v>0</v>
      </c>
      <c r="D462" s="144">
        <f>D460-D461</f>
        <v>0</v>
      </c>
      <c r="E462" s="104">
        <f>E460-E461</f>
        <v>0</v>
      </c>
      <c r="F462" s="105"/>
    </row>
    <row r="463" spans="1:21" ht="16" thickBot="1" x14ac:dyDescent="0.25">
      <c r="A463" s="106"/>
      <c r="B463" s="106"/>
      <c r="C463" s="106"/>
      <c r="D463" s="106"/>
      <c r="E463" s="106"/>
      <c r="F463" s="106"/>
      <c r="G463" s="106"/>
      <c r="H463" s="106"/>
      <c r="I463" s="106"/>
      <c r="J463" s="106"/>
      <c r="K463" s="106"/>
      <c r="L463" s="106"/>
      <c r="M463" s="106"/>
      <c r="N463" s="106"/>
      <c r="O463" s="106"/>
      <c r="P463" s="106"/>
      <c r="Q463" s="106"/>
      <c r="R463" s="106"/>
      <c r="S463" s="106"/>
      <c r="T463" s="106"/>
      <c r="U463" s="106"/>
    </row>
  </sheetData>
  <mergeCells count="31">
    <mergeCell ref="A366:A368"/>
    <mergeCell ref="J348:L348"/>
    <mergeCell ref="C349:D349"/>
    <mergeCell ref="A357:A359"/>
    <mergeCell ref="A360:A362"/>
    <mergeCell ref="A363:A365"/>
    <mergeCell ref="C344:D344"/>
    <mergeCell ref="G344:H344"/>
    <mergeCell ref="B346:F346"/>
    <mergeCell ref="G346:I346"/>
    <mergeCell ref="E393:G393"/>
    <mergeCell ref="A256:A258"/>
    <mergeCell ref="A280:A283"/>
    <mergeCell ref="A284:A286"/>
    <mergeCell ref="B341:E341"/>
    <mergeCell ref="F341:I341"/>
    <mergeCell ref="A211:A213"/>
    <mergeCell ref="A227:A229"/>
    <mergeCell ref="A230:A232"/>
    <mergeCell ref="A233:A235"/>
    <mergeCell ref="A253:A255"/>
    <mergeCell ref="A12:A13"/>
    <mergeCell ref="A160:A162"/>
    <mergeCell ref="A163:A165"/>
    <mergeCell ref="A180:A183"/>
    <mergeCell ref="A200:A203"/>
    <mergeCell ref="A1:F1"/>
    <mergeCell ref="D5:G5"/>
    <mergeCell ref="H8:I8"/>
    <mergeCell ref="J8:K8"/>
    <mergeCell ref="A10:A11"/>
  </mergeCells>
  <pageMargins left="0.7" right="0.7" top="0.75" bottom="0.75" header="0.3" footer="0.3"/>
  <pageSetup scale="73" orientation="portrait" horizontalDpi="4294967293" verticalDpi="4294967295" r:id="rId1"/>
  <headerFooter>
    <oddHeader>&amp;C&amp;"-,Bold"&amp;A</oddHeader>
    <oddFooter>&amp;LPage &amp;P</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33C80-E037-479D-ACD7-DE3B08F8194F}">
  <sheetPr codeName="Sheet11">
    <tabColor theme="3" tint="0.79998168889431442"/>
  </sheetPr>
  <dimension ref="A1:U320"/>
  <sheetViews>
    <sheetView zoomScale="85" zoomScaleNormal="85" zoomScaleSheetLayoutView="80" workbookViewId="0">
      <selection activeCell="P5" sqref="P5:V16"/>
    </sheetView>
  </sheetViews>
  <sheetFormatPr baseColWidth="10" defaultColWidth="9" defaultRowHeight="15" x14ac:dyDescent="0.2"/>
  <cols>
    <col min="1" max="1" width="2.83203125" style="326" customWidth="1"/>
    <col min="2" max="2" width="21.6640625" style="326" customWidth="1"/>
    <col min="3" max="3" width="19.1640625" style="326" customWidth="1"/>
    <col min="4" max="4" width="17.5" style="326" bestFit="1" customWidth="1"/>
    <col min="5" max="5" width="24.33203125" style="326" bestFit="1" customWidth="1"/>
    <col min="6" max="6" width="24.33203125" style="331" bestFit="1" customWidth="1"/>
    <col min="7" max="7" width="22.83203125" style="331" bestFit="1" customWidth="1"/>
    <col min="8" max="8" width="13.33203125" style="326" customWidth="1"/>
    <col min="9" max="9" width="24.33203125" style="326" bestFit="1" customWidth="1"/>
    <col min="10" max="10" width="14.5" style="329" customWidth="1"/>
    <col min="11" max="11" width="14.5" style="330" customWidth="1"/>
    <col min="12" max="12" width="14.5" style="329" customWidth="1"/>
    <col min="13" max="13" width="22.1640625" style="329" customWidth="1"/>
    <col min="14" max="14" width="14.5" style="328" customWidth="1"/>
    <col min="15" max="15" width="14.5" style="327" hidden="1" customWidth="1"/>
    <col min="16" max="16" width="9" style="326"/>
    <col min="17" max="18" width="15.5" style="326" customWidth="1"/>
    <col min="19" max="19" width="10.5" style="326" customWidth="1"/>
    <col min="20" max="20" width="13.33203125" style="326" customWidth="1"/>
    <col min="21" max="21" width="16.1640625" style="326" customWidth="1"/>
    <col min="22" max="16384" width="9" style="326"/>
  </cols>
  <sheetData>
    <row r="1" spans="1:21" ht="25.25" customHeight="1" thickBot="1" x14ac:dyDescent="0.25">
      <c r="B1" s="941" t="s">
        <v>1177</v>
      </c>
      <c r="C1" s="942"/>
      <c r="D1" s="942"/>
      <c r="E1" s="942"/>
      <c r="F1" s="942"/>
      <c r="G1" s="942"/>
      <c r="H1" s="943"/>
      <c r="I1" s="943"/>
      <c r="J1" s="943"/>
      <c r="K1" s="943"/>
      <c r="L1" s="943"/>
      <c r="M1" s="943"/>
      <c r="N1" s="943"/>
      <c r="Q1" s="454" t="s">
        <v>251</v>
      </c>
      <c r="R1" s="454" t="s">
        <v>252</v>
      </c>
      <c r="S1" s="455" t="s">
        <v>253</v>
      </c>
      <c r="T1" s="455" t="s">
        <v>254</v>
      </c>
      <c r="U1" s="456" t="s">
        <v>255</v>
      </c>
    </row>
    <row r="2" spans="1:21" ht="25.25" customHeight="1" x14ac:dyDescent="0.2">
      <c r="B2" s="362" t="s">
        <v>1178</v>
      </c>
      <c r="C2" s="944">
        <f>'Base Information Sheet'!B3</f>
        <v>0</v>
      </c>
      <c r="D2" s="945"/>
      <c r="E2" s="945"/>
      <c r="F2" s="945"/>
      <c r="G2" s="946"/>
      <c r="H2" s="362" t="s">
        <v>1179</v>
      </c>
      <c r="I2" s="947">
        <f>'Base Information Sheet'!B23</f>
        <v>0</v>
      </c>
      <c r="J2" s="948"/>
      <c r="K2" s="362" t="s">
        <v>1180</v>
      </c>
      <c r="L2" s="364">
        <f>'Base Information Sheet'!B15</f>
        <v>0</v>
      </c>
      <c r="M2" s="362" t="s">
        <v>1181</v>
      </c>
      <c r="N2" s="363" t="e">
        <f>I2/I3</f>
        <v>#DIV/0!</v>
      </c>
      <c r="Q2" s="440" t="s">
        <v>259</v>
      </c>
      <c r="R2" s="441">
        <f>COUNTIFS(M12:M131,"&gt;=10",M12:M131,"&lt;15")</f>
        <v>0</v>
      </c>
      <c r="S2" s="442">
        <f>SUMIFS(J12:J131, M12:M131,"&gt;=10",M12:M131,"&lt;15")</f>
        <v>0</v>
      </c>
      <c r="T2" s="443">
        <f>SUMIFS(N12:N131, M12:M131,"&gt;=10",M12:M131,"&lt;15")</f>
        <v>0</v>
      </c>
      <c r="U2" s="445" t="e">
        <f>S2/I3</f>
        <v>#DIV/0!</v>
      </c>
    </row>
    <row r="3" spans="1:21" ht="25.25" customHeight="1" x14ac:dyDescent="0.2">
      <c r="B3" s="362" t="s">
        <v>1182</v>
      </c>
      <c r="C3" s="949">
        <f>'Base Information Sheet'!B5</f>
        <v>0</v>
      </c>
      <c r="D3" s="949"/>
      <c r="E3" s="949"/>
      <c r="F3" s="949"/>
      <c r="G3" s="949"/>
      <c r="H3" s="362" t="s">
        <v>1183</v>
      </c>
      <c r="I3" s="947">
        <f>SUM(J12:J131)</f>
        <v>0</v>
      </c>
      <c r="J3" s="948"/>
      <c r="K3" s="362" t="s">
        <v>1184</v>
      </c>
      <c r="L3" s="361">
        <f ca="1">'Physical Condition Assessment'!C5</f>
        <v>2026</v>
      </c>
      <c r="M3" s="360" t="s">
        <v>1185</v>
      </c>
      <c r="N3" s="358">
        <f>SUMIF(M12:M131,"&gt;=15",N12:N131)</f>
        <v>0</v>
      </c>
      <c r="Q3" s="447" t="s">
        <v>262</v>
      </c>
      <c r="R3" s="448">
        <f>COUNTIF(M12:M131,"&gt;=15")</f>
        <v>0</v>
      </c>
      <c r="S3" s="383">
        <f>SUMIFS(J12:J131, M12:M131,"&gt;=15")</f>
        <v>0</v>
      </c>
      <c r="T3" s="449">
        <f>SUMIFS(N12:N131, M12:M131,"&gt;=15")</f>
        <v>0</v>
      </c>
      <c r="U3" s="450" t="e">
        <f>S3/I3</f>
        <v>#DIV/0!</v>
      </c>
    </row>
    <row r="4" spans="1:21" ht="25.25" customHeight="1" thickBot="1" x14ac:dyDescent="0.25">
      <c r="B4" s="950"/>
      <c r="C4" s="951"/>
      <c r="D4" s="951"/>
      <c r="E4" s="951"/>
      <c r="F4" s="951"/>
      <c r="G4" s="951"/>
      <c r="H4" s="951"/>
      <c r="I4" s="951"/>
      <c r="J4" s="951"/>
      <c r="K4" s="951"/>
      <c r="L4" s="952"/>
      <c r="M4" s="359" t="s">
        <v>1186</v>
      </c>
      <c r="N4" s="358">
        <f>SUM(N12:N131)</f>
        <v>0</v>
      </c>
      <c r="Q4" s="451"/>
      <c r="R4" s="444" t="s">
        <v>265</v>
      </c>
      <c r="S4" s="452"/>
      <c r="T4" s="453">
        <f>SUM(T2:T3)</f>
        <v>0</v>
      </c>
      <c r="U4" s="446"/>
    </row>
    <row r="5" spans="1:21" ht="15" customHeight="1" x14ac:dyDescent="0.2">
      <c r="B5" s="355" t="s">
        <v>1187</v>
      </c>
      <c r="C5" s="356" t="s">
        <v>1188</v>
      </c>
      <c r="D5" s="356" t="s">
        <v>1189</v>
      </c>
      <c r="E5" s="356" t="s">
        <v>1190</v>
      </c>
      <c r="F5" s="356" t="s">
        <v>1191</v>
      </c>
      <c r="G5" s="356" t="s">
        <v>1192</v>
      </c>
      <c r="H5" s="356" t="s">
        <v>1193</v>
      </c>
      <c r="I5" s="357" t="s">
        <v>499</v>
      </c>
      <c r="J5" s="356" t="s">
        <v>257</v>
      </c>
      <c r="K5" s="356" t="s">
        <v>1194</v>
      </c>
      <c r="L5" s="356"/>
      <c r="M5" s="356"/>
      <c r="N5" s="350"/>
      <c r="S5" s="339"/>
    </row>
    <row r="6" spans="1:21" ht="15" customHeight="1" x14ac:dyDescent="0.2">
      <c r="B6" s="349" t="s">
        <v>1195</v>
      </c>
      <c r="C6" s="347">
        <v>1700</v>
      </c>
      <c r="D6" s="347">
        <v>2250</v>
      </c>
      <c r="E6" s="347">
        <v>5500</v>
      </c>
      <c r="F6" s="347">
        <v>5000</v>
      </c>
      <c r="G6" s="347">
        <v>5000</v>
      </c>
      <c r="H6" s="347">
        <v>1750</v>
      </c>
      <c r="I6" s="348">
        <v>5500</v>
      </c>
      <c r="J6" s="347">
        <v>100</v>
      </c>
      <c r="K6" s="347">
        <v>50</v>
      </c>
      <c r="L6" s="347"/>
      <c r="M6" s="347"/>
      <c r="N6" s="346"/>
      <c r="Q6" s="371" t="s">
        <v>1196</v>
      </c>
    </row>
    <row r="7" spans="1:21" hidden="1" x14ac:dyDescent="0.2">
      <c r="B7" s="355"/>
      <c r="C7" s="351"/>
      <c r="D7" s="351"/>
      <c r="E7" s="353"/>
      <c r="F7" s="353"/>
      <c r="G7" s="353"/>
      <c r="H7" s="351"/>
      <c r="I7" s="352"/>
      <c r="J7" s="351"/>
      <c r="K7" s="351"/>
      <c r="L7" s="351"/>
      <c r="M7" s="351"/>
      <c r="N7" s="350"/>
    </row>
    <row r="8" spans="1:21" ht="15" hidden="1" customHeight="1" x14ac:dyDescent="0.2">
      <c r="B8" s="349"/>
      <c r="C8" s="347"/>
      <c r="D8" s="347"/>
      <c r="E8" s="347"/>
      <c r="F8" s="347"/>
      <c r="G8" s="347"/>
      <c r="H8" s="347"/>
      <c r="I8" s="348"/>
      <c r="J8" s="347"/>
      <c r="K8" s="347"/>
      <c r="L8" s="347"/>
      <c r="M8" s="347"/>
      <c r="N8" s="346"/>
    </row>
    <row r="9" spans="1:21" ht="28.5" hidden="1" customHeight="1" x14ac:dyDescent="0.2">
      <c r="B9" s="354"/>
      <c r="C9" s="353"/>
      <c r="D9" s="351"/>
      <c r="E9" s="353"/>
      <c r="F9" s="353"/>
      <c r="G9" s="351"/>
      <c r="H9" s="351"/>
      <c r="I9" s="352"/>
      <c r="J9" s="351"/>
      <c r="K9" s="351"/>
      <c r="L9" s="351"/>
      <c r="M9" s="351"/>
      <c r="N9" s="350"/>
    </row>
    <row r="10" spans="1:21" ht="15" hidden="1" customHeight="1" x14ac:dyDescent="0.2">
      <c r="B10" s="349"/>
      <c r="C10" s="347"/>
      <c r="D10" s="347"/>
      <c r="E10" s="347"/>
      <c r="F10" s="347"/>
      <c r="G10" s="347"/>
      <c r="H10" s="347"/>
      <c r="I10" s="348"/>
      <c r="J10" s="347"/>
      <c r="K10" s="347"/>
      <c r="L10" s="347"/>
      <c r="M10" s="347"/>
      <c r="N10" s="346"/>
    </row>
    <row r="11" spans="1:21" s="341" customFormat="1" ht="34.25" customHeight="1" x14ac:dyDescent="0.2">
      <c r="A11" s="286"/>
      <c r="B11" s="344" t="s">
        <v>1197</v>
      </c>
      <c r="C11" s="344" t="s">
        <v>1198</v>
      </c>
      <c r="D11" s="344" t="s">
        <v>414</v>
      </c>
      <c r="E11" s="344" t="s">
        <v>1199</v>
      </c>
      <c r="F11" s="344" t="s">
        <v>1200</v>
      </c>
      <c r="G11" s="344" t="s">
        <v>1201</v>
      </c>
      <c r="H11" s="344" t="s">
        <v>1202</v>
      </c>
      <c r="I11" s="344" t="s">
        <v>870</v>
      </c>
      <c r="J11" s="344" t="s">
        <v>1203</v>
      </c>
      <c r="K11" s="345" t="s">
        <v>1204</v>
      </c>
      <c r="L11" s="344" t="s">
        <v>34</v>
      </c>
      <c r="M11" s="344" t="s">
        <v>251</v>
      </c>
      <c r="N11" s="343" t="s">
        <v>1205</v>
      </c>
      <c r="O11" s="342"/>
    </row>
    <row r="12" spans="1:21" s="339" customFormat="1" ht="25.25" customHeight="1" x14ac:dyDescent="0.2">
      <c r="B12" s="336"/>
      <c r="C12" s="336"/>
      <c r="D12" s="336"/>
      <c r="E12" s="336"/>
      <c r="F12" s="338"/>
      <c r="G12" s="338"/>
      <c r="H12" s="336"/>
      <c r="I12" s="336"/>
      <c r="J12" s="334"/>
      <c r="K12" s="335"/>
      <c r="L12" s="334"/>
      <c r="M12" s="333">
        <f t="shared" ref="M12:M43" si="0">IF(L12="",0,$L$3-L12)</f>
        <v>0</v>
      </c>
      <c r="N12" s="332">
        <f t="shared" ref="N12:N76" si="1">IF(I12="Split System",$G$6*J12,IF(I12="Packaged Unit",$F$6*J12,IF(I12="DOAU",$K$6*K12,IF(I12="Air Cooled Chiller",$D$6*J12,IF(I12="Water Source Heat Pumps",$E$6*J12,IF(I12="Water Cooled Chiller",$C$6*J12,IF(I12="Boiler",$J$6*K12,IF(I12="Window",$H$6*J12,IF(I12="Wall",$I$6*J12,0)))))))))</f>
        <v>0</v>
      </c>
      <c r="O12" s="340"/>
      <c r="Q12" s="940" t="s">
        <v>1206</v>
      </c>
      <c r="R12" s="940"/>
      <c r="S12" s="940"/>
      <c r="T12" s="940"/>
      <c r="U12" s="940"/>
    </row>
    <row r="13" spans="1:21" s="339" customFormat="1" ht="24.75" customHeight="1" x14ac:dyDescent="0.2">
      <c r="B13" s="336"/>
      <c r="C13" s="336"/>
      <c r="D13" s="336"/>
      <c r="E13" s="336"/>
      <c r="F13" s="338"/>
      <c r="G13" s="338"/>
      <c r="H13" s="336"/>
      <c r="I13" s="336"/>
      <c r="J13" s="334"/>
      <c r="K13" s="335"/>
      <c r="L13" s="334"/>
      <c r="M13" s="333">
        <f t="shared" si="0"/>
        <v>0</v>
      </c>
      <c r="N13" s="332">
        <f t="shared" si="1"/>
        <v>0</v>
      </c>
      <c r="O13" s="340"/>
      <c r="Q13" s="940"/>
      <c r="R13" s="940"/>
      <c r="S13" s="940"/>
      <c r="T13" s="940"/>
      <c r="U13" s="940"/>
    </row>
    <row r="14" spans="1:21" ht="24.75" customHeight="1" x14ac:dyDescent="0.2">
      <c r="B14" s="336"/>
      <c r="C14" s="336"/>
      <c r="D14" s="336"/>
      <c r="E14" s="336"/>
      <c r="F14" s="338"/>
      <c r="G14" s="338"/>
      <c r="H14" s="336"/>
      <c r="I14" s="336"/>
      <c r="J14" s="334"/>
      <c r="K14" s="334"/>
      <c r="L14" s="334"/>
      <c r="M14" s="333">
        <f t="shared" si="0"/>
        <v>0</v>
      </c>
      <c r="N14" s="332">
        <f t="shared" si="1"/>
        <v>0</v>
      </c>
    </row>
    <row r="15" spans="1:21" s="339" customFormat="1" ht="24.75" customHeight="1" x14ac:dyDescent="0.2">
      <c r="B15" s="336"/>
      <c r="C15" s="336"/>
      <c r="D15" s="336"/>
      <c r="E15" s="336"/>
      <c r="F15" s="338"/>
      <c r="G15" s="338"/>
      <c r="H15" s="336"/>
      <c r="I15" s="336"/>
      <c r="J15" s="334"/>
      <c r="K15" s="335"/>
      <c r="L15" s="334"/>
      <c r="M15" s="333">
        <f t="shared" si="0"/>
        <v>0</v>
      </c>
      <c r="N15" s="332">
        <f t="shared" si="1"/>
        <v>0</v>
      </c>
      <c r="O15" s="340"/>
      <c r="Q15" s="940" t="s">
        <v>1207</v>
      </c>
      <c r="R15" s="940"/>
      <c r="S15" s="940"/>
      <c r="T15" s="940"/>
      <c r="U15" s="940"/>
    </row>
    <row r="16" spans="1:21" s="339" customFormat="1" ht="24.75" customHeight="1" x14ac:dyDescent="0.2">
      <c r="B16" s="336"/>
      <c r="C16" s="336"/>
      <c r="D16" s="336"/>
      <c r="E16" s="336"/>
      <c r="F16" s="338"/>
      <c r="G16" s="338"/>
      <c r="H16" s="336"/>
      <c r="I16" s="336"/>
      <c r="J16" s="334"/>
      <c r="K16" s="335"/>
      <c r="L16" s="334"/>
      <c r="M16" s="333">
        <f t="shared" si="0"/>
        <v>0</v>
      </c>
      <c r="N16" s="332">
        <f t="shared" si="1"/>
        <v>0</v>
      </c>
      <c r="O16" s="340"/>
      <c r="Q16" s="940"/>
      <c r="R16" s="940"/>
      <c r="S16" s="940"/>
      <c r="T16" s="940"/>
      <c r="U16" s="940"/>
    </row>
    <row r="17" spans="1:15" s="339" customFormat="1" ht="24.75" customHeight="1" x14ac:dyDescent="0.2">
      <c r="B17" s="336"/>
      <c r="C17" s="336"/>
      <c r="D17" s="336"/>
      <c r="E17" s="336"/>
      <c r="F17" s="338"/>
      <c r="G17" s="337"/>
      <c r="H17" s="336"/>
      <c r="I17" s="336"/>
      <c r="J17" s="334"/>
      <c r="K17" s="335"/>
      <c r="L17" s="334"/>
      <c r="M17" s="333">
        <f t="shared" si="0"/>
        <v>0</v>
      </c>
      <c r="N17" s="332">
        <f t="shared" si="1"/>
        <v>0</v>
      </c>
      <c r="O17" s="340"/>
    </row>
    <row r="18" spans="1:15" s="339" customFormat="1" ht="24.75" customHeight="1" x14ac:dyDescent="0.2">
      <c r="B18" s="336"/>
      <c r="C18" s="336"/>
      <c r="D18" s="336"/>
      <c r="E18" s="336"/>
      <c r="F18" s="338"/>
      <c r="G18" s="338"/>
      <c r="H18" s="336"/>
      <c r="I18" s="336"/>
      <c r="J18" s="334"/>
      <c r="K18" s="335"/>
      <c r="L18" s="334"/>
      <c r="M18" s="333">
        <f t="shared" si="0"/>
        <v>0</v>
      </c>
      <c r="N18" s="332">
        <f t="shared" si="1"/>
        <v>0</v>
      </c>
      <c r="O18" s="340"/>
    </row>
    <row r="19" spans="1:15" s="339" customFormat="1" ht="25.25" customHeight="1" x14ac:dyDescent="0.2">
      <c r="B19" s="336"/>
      <c r="C19" s="336"/>
      <c r="D19" s="336"/>
      <c r="E19" s="336"/>
      <c r="F19" s="338"/>
      <c r="G19" s="337"/>
      <c r="H19" s="336"/>
      <c r="I19" s="336"/>
      <c r="J19" s="334"/>
      <c r="K19" s="335"/>
      <c r="L19" s="334"/>
      <c r="M19" s="333">
        <f t="shared" si="0"/>
        <v>0</v>
      </c>
      <c r="N19" s="332">
        <f t="shared" si="1"/>
        <v>0</v>
      </c>
      <c r="O19" s="340"/>
    </row>
    <row r="20" spans="1:15" s="339" customFormat="1" ht="25.25" customHeight="1" x14ac:dyDescent="0.2">
      <c r="B20" s="336"/>
      <c r="C20" s="336"/>
      <c r="D20" s="336"/>
      <c r="E20" s="336"/>
      <c r="F20" s="338"/>
      <c r="G20" s="338"/>
      <c r="H20" s="336"/>
      <c r="I20" s="336"/>
      <c r="J20" s="334"/>
      <c r="K20" s="335"/>
      <c r="L20" s="334"/>
      <c r="M20" s="333">
        <f t="shared" si="0"/>
        <v>0</v>
      </c>
      <c r="N20" s="332">
        <f t="shared" si="1"/>
        <v>0</v>
      </c>
      <c r="O20" s="340"/>
    </row>
    <row r="21" spans="1:15" ht="25.25" customHeight="1" x14ac:dyDescent="0.2">
      <c r="B21" s="336"/>
      <c r="C21" s="336"/>
      <c r="D21" s="336"/>
      <c r="E21" s="336"/>
      <c r="F21" s="338"/>
      <c r="G21" s="338"/>
      <c r="H21" s="336"/>
      <c r="I21" s="336"/>
      <c r="J21" s="334"/>
      <c r="K21" s="334"/>
      <c r="L21" s="334"/>
      <c r="M21" s="333">
        <f t="shared" si="0"/>
        <v>0</v>
      </c>
      <c r="N21" s="332">
        <f t="shared" si="1"/>
        <v>0</v>
      </c>
    </row>
    <row r="22" spans="1:15" s="339" customFormat="1" ht="25.25" customHeight="1" x14ac:dyDescent="0.2">
      <c r="B22" s="336"/>
      <c r="C22" s="336"/>
      <c r="D22" s="336"/>
      <c r="E22" s="336"/>
      <c r="F22" s="338"/>
      <c r="G22" s="338"/>
      <c r="H22" s="336"/>
      <c r="I22" s="336"/>
      <c r="J22" s="334"/>
      <c r="K22" s="335"/>
      <c r="L22" s="334"/>
      <c r="M22" s="333">
        <f t="shared" si="0"/>
        <v>0</v>
      </c>
      <c r="N22" s="332">
        <f t="shared" si="1"/>
        <v>0</v>
      </c>
      <c r="O22" s="340"/>
    </row>
    <row r="23" spans="1:15" s="339" customFormat="1" ht="25.25" customHeight="1" x14ac:dyDescent="0.2">
      <c r="B23" s="336"/>
      <c r="C23" s="336"/>
      <c r="D23" s="336"/>
      <c r="E23" s="336"/>
      <c r="F23" s="338"/>
      <c r="G23" s="337"/>
      <c r="H23" s="338"/>
      <c r="I23" s="336"/>
      <c r="J23" s="334"/>
      <c r="K23" s="335"/>
      <c r="L23" s="334"/>
      <c r="M23" s="333">
        <f t="shared" si="0"/>
        <v>0</v>
      </c>
      <c r="N23" s="332">
        <f t="shared" si="1"/>
        <v>0</v>
      </c>
      <c r="O23" s="340"/>
    </row>
    <row r="24" spans="1:15" ht="25.25" customHeight="1" x14ac:dyDescent="0.2">
      <c r="B24" s="336"/>
      <c r="C24" s="336"/>
      <c r="D24" s="336"/>
      <c r="E24" s="336"/>
      <c r="F24" s="338"/>
      <c r="G24" s="338"/>
      <c r="H24" s="336"/>
      <c r="I24" s="336"/>
      <c r="J24" s="334"/>
      <c r="K24" s="334"/>
      <c r="L24" s="334"/>
      <c r="M24" s="333">
        <f t="shared" si="0"/>
        <v>0</v>
      </c>
      <c r="N24" s="332">
        <f t="shared" si="1"/>
        <v>0</v>
      </c>
    </row>
    <row r="25" spans="1:15" ht="25.25" customHeight="1" x14ac:dyDescent="0.2">
      <c r="B25" s="336"/>
      <c r="C25" s="336"/>
      <c r="D25" s="336"/>
      <c r="E25" s="336"/>
      <c r="F25" s="338"/>
      <c r="G25" s="338"/>
      <c r="H25" s="336"/>
      <c r="I25" s="336"/>
      <c r="J25" s="334"/>
      <c r="K25" s="334"/>
      <c r="L25" s="334"/>
      <c r="M25" s="333">
        <f t="shared" si="0"/>
        <v>0</v>
      </c>
      <c r="N25" s="332">
        <f t="shared" si="1"/>
        <v>0</v>
      </c>
    </row>
    <row r="26" spans="1:15" ht="25.25" customHeight="1" x14ac:dyDescent="0.2">
      <c r="B26" s="336"/>
      <c r="C26" s="336"/>
      <c r="D26" s="336"/>
      <c r="E26" s="336"/>
      <c r="F26" s="338"/>
      <c r="G26" s="338"/>
      <c r="H26" s="336"/>
      <c r="I26" s="336"/>
      <c r="J26" s="334"/>
      <c r="K26" s="334"/>
      <c r="L26" s="334"/>
      <c r="M26" s="333">
        <f t="shared" si="0"/>
        <v>0</v>
      </c>
      <c r="N26" s="332">
        <f t="shared" si="1"/>
        <v>0</v>
      </c>
    </row>
    <row r="27" spans="1:15" ht="25.25" customHeight="1" x14ac:dyDescent="0.2">
      <c r="B27" s="336"/>
      <c r="C27" s="336"/>
      <c r="D27" s="336"/>
      <c r="E27" s="336"/>
      <c r="F27" s="338"/>
      <c r="G27" s="338"/>
      <c r="H27" s="336"/>
      <c r="I27" s="336"/>
      <c r="J27" s="334"/>
      <c r="K27" s="334"/>
      <c r="L27" s="334"/>
      <c r="M27" s="333">
        <f t="shared" si="0"/>
        <v>0</v>
      </c>
      <c r="N27" s="332">
        <f t="shared" si="1"/>
        <v>0</v>
      </c>
    </row>
    <row r="28" spans="1:15" ht="25.25" customHeight="1" x14ac:dyDescent="0.2">
      <c r="B28" s="336"/>
      <c r="C28" s="336"/>
      <c r="D28" s="336"/>
      <c r="E28" s="336"/>
      <c r="F28" s="338"/>
      <c r="G28" s="338"/>
      <c r="H28" s="336"/>
      <c r="I28" s="336"/>
      <c r="J28" s="334"/>
      <c r="K28" s="334"/>
      <c r="L28" s="334"/>
      <c r="M28" s="333">
        <f t="shared" si="0"/>
        <v>0</v>
      </c>
      <c r="N28" s="332">
        <f t="shared" si="1"/>
        <v>0</v>
      </c>
    </row>
    <row r="29" spans="1:15" ht="25.25" customHeight="1" x14ac:dyDescent="0.2">
      <c r="B29" s="336"/>
      <c r="C29" s="336"/>
      <c r="D29" s="336"/>
      <c r="E29" s="336"/>
      <c r="F29" s="338"/>
      <c r="G29" s="338"/>
      <c r="H29" s="336"/>
      <c r="I29" s="336"/>
      <c r="J29" s="334"/>
      <c r="K29" s="334"/>
      <c r="L29" s="334"/>
      <c r="M29" s="333">
        <f t="shared" si="0"/>
        <v>0</v>
      </c>
      <c r="N29" s="332">
        <f t="shared" si="1"/>
        <v>0</v>
      </c>
    </row>
    <row r="30" spans="1:15" ht="25.25" customHeight="1" x14ac:dyDescent="0.2">
      <c r="B30" s="336"/>
      <c r="C30" s="336"/>
      <c r="D30" s="336"/>
      <c r="E30" s="336"/>
      <c r="F30" s="338"/>
      <c r="G30" s="338"/>
      <c r="H30" s="336"/>
      <c r="I30" s="336"/>
      <c r="J30" s="334"/>
      <c r="K30" s="334"/>
      <c r="L30" s="334"/>
      <c r="M30" s="333">
        <f t="shared" si="0"/>
        <v>0</v>
      </c>
      <c r="N30" s="332">
        <f t="shared" si="1"/>
        <v>0</v>
      </c>
    </row>
    <row r="31" spans="1:15" ht="25.25" customHeight="1" x14ac:dyDescent="0.2">
      <c r="A31" s="326" t="s">
        <v>21</v>
      </c>
      <c r="B31" s="336"/>
      <c r="C31" s="336"/>
      <c r="D31" s="336"/>
      <c r="E31" s="336"/>
      <c r="F31" s="338"/>
      <c r="G31" s="338"/>
      <c r="H31" s="336"/>
      <c r="I31" s="336"/>
      <c r="J31" s="334"/>
      <c r="K31" s="334"/>
      <c r="L31" s="334"/>
      <c r="M31" s="333">
        <f t="shared" si="0"/>
        <v>0</v>
      </c>
      <c r="N31" s="332">
        <f t="shared" si="1"/>
        <v>0</v>
      </c>
    </row>
    <row r="32" spans="1:15" s="339" customFormat="1" ht="25.25" customHeight="1" x14ac:dyDescent="0.2">
      <c r="B32" s="336"/>
      <c r="C32" s="336"/>
      <c r="D32" s="336"/>
      <c r="E32" s="336"/>
      <c r="F32" s="338"/>
      <c r="G32" s="338"/>
      <c r="H32" s="336"/>
      <c r="I32" s="336"/>
      <c r="J32" s="334"/>
      <c r="K32" s="335"/>
      <c r="L32" s="334"/>
      <c r="M32" s="333">
        <f t="shared" si="0"/>
        <v>0</v>
      </c>
      <c r="N32" s="332">
        <f t="shared" si="1"/>
        <v>0</v>
      </c>
      <c r="O32" s="340"/>
    </row>
    <row r="33" spans="2:15" s="339" customFormat="1" ht="25.25" customHeight="1" x14ac:dyDescent="0.2">
      <c r="B33" s="336"/>
      <c r="C33" s="336"/>
      <c r="D33" s="336"/>
      <c r="E33" s="336"/>
      <c r="F33" s="338"/>
      <c r="G33" s="337"/>
      <c r="H33" s="336"/>
      <c r="I33" s="336"/>
      <c r="J33" s="334"/>
      <c r="K33" s="335"/>
      <c r="L33" s="334"/>
      <c r="M33" s="333">
        <f t="shared" si="0"/>
        <v>0</v>
      </c>
      <c r="N33" s="332">
        <f t="shared" si="1"/>
        <v>0</v>
      </c>
      <c r="O33" s="340"/>
    </row>
    <row r="34" spans="2:15" s="339" customFormat="1" ht="25.25" customHeight="1" x14ac:dyDescent="0.2">
      <c r="B34" s="336"/>
      <c r="C34" s="336"/>
      <c r="D34" s="336"/>
      <c r="E34" s="336"/>
      <c r="F34" s="338"/>
      <c r="G34" s="337"/>
      <c r="H34" s="336"/>
      <c r="I34" s="336"/>
      <c r="J34" s="334"/>
      <c r="K34" s="335"/>
      <c r="L34" s="334"/>
      <c r="M34" s="333">
        <f t="shared" si="0"/>
        <v>0</v>
      </c>
      <c r="N34" s="332">
        <f t="shared" si="1"/>
        <v>0</v>
      </c>
      <c r="O34" s="340"/>
    </row>
    <row r="35" spans="2:15" s="339" customFormat="1" ht="25.25" customHeight="1" x14ac:dyDescent="0.2">
      <c r="B35" s="336"/>
      <c r="C35" s="336"/>
      <c r="D35" s="336"/>
      <c r="E35" s="336"/>
      <c r="F35" s="338"/>
      <c r="G35" s="338"/>
      <c r="H35" s="336"/>
      <c r="I35" s="336"/>
      <c r="J35" s="334"/>
      <c r="K35" s="335"/>
      <c r="L35" s="334"/>
      <c r="M35" s="333">
        <f t="shared" si="0"/>
        <v>0</v>
      </c>
      <c r="N35" s="332">
        <f t="shared" si="1"/>
        <v>0</v>
      </c>
      <c r="O35" s="340"/>
    </row>
    <row r="36" spans="2:15" ht="25.25" customHeight="1" x14ac:dyDescent="0.2">
      <c r="B36" s="336"/>
      <c r="C36" s="336"/>
      <c r="D36" s="336"/>
      <c r="E36" s="336"/>
      <c r="F36" s="338"/>
      <c r="G36" s="338"/>
      <c r="H36" s="336"/>
      <c r="I36" s="336"/>
      <c r="J36" s="334"/>
      <c r="K36" s="334"/>
      <c r="L36" s="334"/>
      <c r="M36" s="333">
        <f t="shared" si="0"/>
        <v>0</v>
      </c>
      <c r="N36" s="332">
        <f t="shared" si="1"/>
        <v>0</v>
      </c>
    </row>
    <row r="37" spans="2:15" s="339" customFormat="1" ht="25.25" customHeight="1" x14ac:dyDescent="0.2">
      <c r="B37" s="336"/>
      <c r="C37" s="336"/>
      <c r="D37" s="336"/>
      <c r="E37" s="336"/>
      <c r="F37" s="338"/>
      <c r="G37" s="337"/>
      <c r="H37" s="336"/>
      <c r="I37" s="336"/>
      <c r="J37" s="334"/>
      <c r="K37" s="335"/>
      <c r="L37" s="334"/>
      <c r="M37" s="333">
        <f t="shared" si="0"/>
        <v>0</v>
      </c>
      <c r="N37" s="332">
        <f t="shared" si="1"/>
        <v>0</v>
      </c>
      <c r="O37" s="340"/>
    </row>
    <row r="38" spans="2:15" s="339" customFormat="1" ht="25.25" customHeight="1" x14ac:dyDescent="0.2">
      <c r="B38" s="336"/>
      <c r="C38" s="336"/>
      <c r="D38" s="336"/>
      <c r="E38" s="336"/>
      <c r="F38" s="338"/>
      <c r="G38" s="338"/>
      <c r="H38" s="336"/>
      <c r="I38" s="336"/>
      <c r="J38" s="334"/>
      <c r="K38" s="335"/>
      <c r="L38" s="334"/>
      <c r="M38" s="333">
        <f t="shared" si="0"/>
        <v>0</v>
      </c>
      <c r="N38" s="332">
        <f t="shared" si="1"/>
        <v>0</v>
      </c>
      <c r="O38" s="340"/>
    </row>
    <row r="39" spans="2:15" s="339" customFormat="1" ht="25.25" customHeight="1" x14ac:dyDescent="0.2">
      <c r="B39" s="336"/>
      <c r="C39" s="336"/>
      <c r="D39" s="336"/>
      <c r="E39" s="336"/>
      <c r="F39" s="338"/>
      <c r="G39" s="338"/>
      <c r="H39" s="336"/>
      <c r="I39" s="336"/>
      <c r="J39" s="334"/>
      <c r="K39" s="335"/>
      <c r="L39" s="334"/>
      <c r="M39" s="333">
        <f t="shared" si="0"/>
        <v>0</v>
      </c>
      <c r="N39" s="332">
        <f t="shared" si="1"/>
        <v>0</v>
      </c>
      <c r="O39" s="340"/>
    </row>
    <row r="40" spans="2:15" s="339" customFormat="1" ht="25.25" customHeight="1" x14ac:dyDescent="0.2">
      <c r="B40" s="336"/>
      <c r="C40" s="336"/>
      <c r="D40" s="336"/>
      <c r="E40" s="336"/>
      <c r="F40" s="338"/>
      <c r="G40" s="337"/>
      <c r="H40" s="336"/>
      <c r="I40" s="336"/>
      <c r="J40" s="334"/>
      <c r="K40" s="335"/>
      <c r="L40" s="334"/>
      <c r="M40" s="333">
        <f t="shared" si="0"/>
        <v>0</v>
      </c>
      <c r="N40" s="332">
        <f t="shared" si="1"/>
        <v>0</v>
      </c>
      <c r="O40" s="340"/>
    </row>
    <row r="41" spans="2:15" s="339" customFormat="1" ht="25.25" customHeight="1" x14ac:dyDescent="0.2">
      <c r="B41" s="336"/>
      <c r="C41" s="336"/>
      <c r="D41" s="336"/>
      <c r="E41" s="336"/>
      <c r="F41" s="338"/>
      <c r="G41" s="337"/>
      <c r="H41" s="336"/>
      <c r="I41" s="336"/>
      <c r="J41" s="334"/>
      <c r="K41" s="335"/>
      <c r="L41" s="334"/>
      <c r="M41" s="333">
        <f t="shared" si="0"/>
        <v>0</v>
      </c>
      <c r="N41" s="332">
        <f t="shared" si="1"/>
        <v>0</v>
      </c>
      <c r="O41" s="340"/>
    </row>
    <row r="42" spans="2:15" s="339" customFormat="1" ht="25.25" customHeight="1" x14ac:dyDescent="0.2">
      <c r="B42" s="336"/>
      <c r="C42" s="336"/>
      <c r="D42" s="336"/>
      <c r="E42" s="336"/>
      <c r="F42" s="338"/>
      <c r="G42" s="337"/>
      <c r="H42" s="336"/>
      <c r="I42" s="336"/>
      <c r="J42" s="334"/>
      <c r="K42" s="335"/>
      <c r="L42" s="334"/>
      <c r="M42" s="333">
        <f t="shared" si="0"/>
        <v>0</v>
      </c>
      <c r="N42" s="332">
        <f t="shared" si="1"/>
        <v>0</v>
      </c>
      <c r="O42" s="340"/>
    </row>
    <row r="43" spans="2:15" s="339" customFormat="1" ht="25.25" customHeight="1" x14ac:dyDescent="0.2">
      <c r="B43" s="336"/>
      <c r="C43" s="336"/>
      <c r="D43" s="336"/>
      <c r="E43" s="336"/>
      <c r="F43" s="338"/>
      <c r="G43" s="337"/>
      <c r="H43" s="336"/>
      <c r="I43" s="336"/>
      <c r="J43" s="334"/>
      <c r="K43" s="335"/>
      <c r="L43" s="334"/>
      <c r="M43" s="333">
        <f t="shared" si="0"/>
        <v>0</v>
      </c>
      <c r="N43" s="332">
        <f t="shared" si="1"/>
        <v>0</v>
      </c>
      <c r="O43" s="340"/>
    </row>
    <row r="44" spans="2:15" s="339" customFormat="1" ht="25.25" customHeight="1" x14ac:dyDescent="0.2">
      <c r="B44" s="336"/>
      <c r="C44" s="336"/>
      <c r="D44" s="336"/>
      <c r="E44" s="336"/>
      <c r="F44" s="338"/>
      <c r="G44" s="338"/>
      <c r="H44" s="336"/>
      <c r="I44" s="336"/>
      <c r="J44" s="334"/>
      <c r="K44" s="335"/>
      <c r="L44" s="334"/>
      <c r="M44" s="333">
        <f t="shared" ref="M44:M75" si="2">IF(L44="",0,$L$3-L44)</f>
        <v>0</v>
      </c>
      <c r="N44" s="332">
        <f t="shared" si="1"/>
        <v>0</v>
      </c>
      <c r="O44" s="340"/>
    </row>
    <row r="45" spans="2:15" s="339" customFormat="1" ht="25.25" customHeight="1" x14ac:dyDescent="0.2">
      <c r="B45" s="336"/>
      <c r="C45" s="336"/>
      <c r="D45" s="336"/>
      <c r="E45" s="336"/>
      <c r="F45" s="338"/>
      <c r="G45" s="338"/>
      <c r="H45" s="336"/>
      <c r="I45" s="336"/>
      <c r="J45" s="334"/>
      <c r="K45" s="335"/>
      <c r="L45" s="334"/>
      <c r="M45" s="333">
        <f t="shared" si="2"/>
        <v>0</v>
      </c>
      <c r="N45" s="332">
        <f t="shared" si="1"/>
        <v>0</v>
      </c>
      <c r="O45" s="340"/>
    </row>
    <row r="46" spans="2:15" s="339" customFormat="1" ht="25.25" customHeight="1" x14ac:dyDescent="0.2">
      <c r="B46" s="336"/>
      <c r="C46" s="336"/>
      <c r="D46" s="336"/>
      <c r="E46" s="336"/>
      <c r="F46" s="338"/>
      <c r="G46" s="337"/>
      <c r="H46" s="336"/>
      <c r="I46" s="336"/>
      <c r="J46" s="334"/>
      <c r="K46" s="335"/>
      <c r="L46" s="334"/>
      <c r="M46" s="333">
        <f t="shared" si="2"/>
        <v>0</v>
      </c>
      <c r="N46" s="332">
        <f t="shared" si="1"/>
        <v>0</v>
      </c>
      <c r="O46" s="340"/>
    </row>
    <row r="47" spans="2:15" ht="25.25" customHeight="1" x14ac:dyDescent="0.2">
      <c r="B47" s="336"/>
      <c r="C47" s="336"/>
      <c r="D47" s="336"/>
      <c r="E47" s="336"/>
      <c r="F47" s="338"/>
      <c r="G47" s="338"/>
      <c r="H47" s="336"/>
      <c r="I47" s="336"/>
      <c r="J47" s="334"/>
      <c r="K47" s="334"/>
      <c r="L47" s="334"/>
      <c r="M47" s="333">
        <f t="shared" si="2"/>
        <v>0</v>
      </c>
      <c r="N47" s="332">
        <f t="shared" si="1"/>
        <v>0</v>
      </c>
    </row>
    <row r="48" spans="2:15" ht="25.25" customHeight="1" x14ac:dyDescent="0.2">
      <c r="B48" s="336"/>
      <c r="C48" s="336"/>
      <c r="D48" s="336"/>
      <c r="E48" s="336"/>
      <c r="F48" s="338"/>
      <c r="G48" s="338"/>
      <c r="H48" s="336"/>
      <c r="I48" s="336"/>
      <c r="J48" s="334"/>
      <c r="K48" s="334"/>
      <c r="L48" s="334"/>
      <c r="M48" s="333">
        <f t="shared" si="2"/>
        <v>0</v>
      </c>
      <c r="N48" s="332">
        <f t="shared" si="1"/>
        <v>0</v>
      </c>
    </row>
    <row r="49" spans="2:15" ht="25.25" customHeight="1" x14ac:dyDescent="0.2">
      <c r="B49" s="336"/>
      <c r="C49" s="336"/>
      <c r="D49" s="336"/>
      <c r="E49" s="336"/>
      <c r="F49" s="338"/>
      <c r="G49" s="338"/>
      <c r="H49" s="336"/>
      <c r="I49" s="336"/>
      <c r="J49" s="334"/>
      <c r="K49" s="334"/>
      <c r="L49" s="334"/>
      <c r="M49" s="333">
        <f t="shared" si="2"/>
        <v>0</v>
      </c>
      <c r="N49" s="332">
        <f t="shared" si="1"/>
        <v>0</v>
      </c>
    </row>
    <row r="50" spans="2:15" s="339" customFormat="1" ht="25.25" customHeight="1" x14ac:dyDescent="0.2">
      <c r="B50" s="336"/>
      <c r="C50" s="336"/>
      <c r="D50" s="336"/>
      <c r="E50" s="336"/>
      <c r="F50" s="338"/>
      <c r="G50" s="338"/>
      <c r="H50" s="336"/>
      <c r="I50" s="336"/>
      <c r="J50" s="334"/>
      <c r="K50" s="335"/>
      <c r="L50" s="334"/>
      <c r="M50" s="333">
        <f t="shared" si="2"/>
        <v>0</v>
      </c>
      <c r="N50" s="332">
        <f t="shared" si="1"/>
        <v>0</v>
      </c>
      <c r="O50" s="340"/>
    </row>
    <row r="51" spans="2:15" s="339" customFormat="1" ht="25.25" customHeight="1" x14ac:dyDescent="0.2">
      <c r="B51" s="336"/>
      <c r="C51" s="336"/>
      <c r="D51" s="336"/>
      <c r="E51" s="336"/>
      <c r="F51" s="338"/>
      <c r="G51" s="338"/>
      <c r="H51" s="336"/>
      <c r="I51" s="336"/>
      <c r="J51" s="334"/>
      <c r="K51" s="335"/>
      <c r="L51" s="334"/>
      <c r="M51" s="333">
        <f t="shared" si="2"/>
        <v>0</v>
      </c>
      <c r="N51" s="332">
        <f t="shared" si="1"/>
        <v>0</v>
      </c>
      <c r="O51" s="340"/>
    </row>
    <row r="52" spans="2:15" ht="25.25" customHeight="1" x14ac:dyDescent="0.2">
      <c r="B52" s="336"/>
      <c r="C52" s="336"/>
      <c r="D52" s="336"/>
      <c r="E52" s="336"/>
      <c r="F52" s="338"/>
      <c r="G52" s="338"/>
      <c r="H52" s="336"/>
      <c r="I52" s="336"/>
      <c r="J52" s="334"/>
      <c r="K52" s="334"/>
      <c r="L52" s="334"/>
      <c r="M52" s="333">
        <f t="shared" si="2"/>
        <v>0</v>
      </c>
      <c r="N52" s="332">
        <f t="shared" si="1"/>
        <v>0</v>
      </c>
    </row>
    <row r="53" spans="2:15" ht="25.25" customHeight="1" x14ac:dyDescent="0.2">
      <c r="B53" s="336"/>
      <c r="C53" s="336"/>
      <c r="D53" s="336"/>
      <c r="E53" s="336"/>
      <c r="F53" s="338"/>
      <c r="G53" s="338"/>
      <c r="H53" s="336"/>
      <c r="I53" s="336"/>
      <c r="J53" s="334"/>
      <c r="K53" s="334"/>
      <c r="L53" s="334"/>
      <c r="M53" s="333">
        <f t="shared" si="2"/>
        <v>0</v>
      </c>
      <c r="N53" s="332">
        <f t="shared" si="1"/>
        <v>0</v>
      </c>
    </row>
    <row r="54" spans="2:15" ht="25.25" customHeight="1" x14ac:dyDescent="0.2">
      <c r="B54" s="336"/>
      <c r="C54" s="336"/>
      <c r="D54" s="336"/>
      <c r="E54" s="336"/>
      <c r="F54" s="338"/>
      <c r="G54" s="338"/>
      <c r="H54" s="336"/>
      <c r="I54" s="336"/>
      <c r="J54" s="334"/>
      <c r="K54" s="334"/>
      <c r="L54" s="334"/>
      <c r="M54" s="333">
        <f t="shared" si="2"/>
        <v>0</v>
      </c>
      <c r="N54" s="332">
        <f t="shared" si="1"/>
        <v>0</v>
      </c>
    </row>
    <row r="55" spans="2:15" ht="25.25" customHeight="1" x14ac:dyDescent="0.2">
      <c r="B55" s="336"/>
      <c r="C55" s="336"/>
      <c r="D55" s="336"/>
      <c r="E55" s="336"/>
      <c r="F55" s="338"/>
      <c r="G55" s="338"/>
      <c r="H55" s="336"/>
      <c r="I55" s="336"/>
      <c r="J55" s="334"/>
      <c r="K55" s="334"/>
      <c r="L55" s="334"/>
      <c r="M55" s="333">
        <f t="shared" si="2"/>
        <v>0</v>
      </c>
      <c r="N55" s="332">
        <f t="shared" si="1"/>
        <v>0</v>
      </c>
    </row>
    <row r="56" spans="2:15" s="339" customFormat="1" ht="25.25" customHeight="1" x14ac:dyDescent="0.2">
      <c r="B56" s="336"/>
      <c r="C56" s="336"/>
      <c r="D56" s="336"/>
      <c r="E56" s="336"/>
      <c r="F56" s="338"/>
      <c r="G56" s="338"/>
      <c r="H56" s="336"/>
      <c r="I56" s="336"/>
      <c r="J56" s="334"/>
      <c r="K56" s="335"/>
      <c r="L56" s="334"/>
      <c r="M56" s="333">
        <f t="shared" si="2"/>
        <v>0</v>
      </c>
      <c r="N56" s="332">
        <f t="shared" si="1"/>
        <v>0</v>
      </c>
      <c r="O56" s="340"/>
    </row>
    <row r="57" spans="2:15" s="339" customFormat="1" ht="25.25" customHeight="1" x14ac:dyDescent="0.2">
      <c r="B57" s="336"/>
      <c r="C57" s="336"/>
      <c r="D57" s="336"/>
      <c r="E57" s="336"/>
      <c r="F57" s="338"/>
      <c r="G57" s="337"/>
      <c r="H57" s="336"/>
      <c r="I57" s="336"/>
      <c r="J57" s="334"/>
      <c r="K57" s="335"/>
      <c r="L57" s="334"/>
      <c r="M57" s="333">
        <f t="shared" si="2"/>
        <v>0</v>
      </c>
      <c r="N57" s="332">
        <f t="shared" si="1"/>
        <v>0</v>
      </c>
      <c r="O57" s="340"/>
    </row>
    <row r="58" spans="2:15" s="339" customFormat="1" ht="25.25" customHeight="1" x14ac:dyDescent="0.2">
      <c r="B58" s="336"/>
      <c r="C58" s="336"/>
      <c r="D58" s="336"/>
      <c r="E58" s="336"/>
      <c r="F58" s="338"/>
      <c r="G58" s="338"/>
      <c r="H58" s="336"/>
      <c r="I58" s="336"/>
      <c r="J58" s="334"/>
      <c r="K58" s="335"/>
      <c r="L58" s="334"/>
      <c r="M58" s="333">
        <f t="shared" si="2"/>
        <v>0</v>
      </c>
      <c r="N58" s="332">
        <f t="shared" si="1"/>
        <v>0</v>
      </c>
      <c r="O58" s="340"/>
    </row>
    <row r="59" spans="2:15" s="339" customFormat="1" ht="25.25" customHeight="1" x14ac:dyDescent="0.2">
      <c r="B59" s="336"/>
      <c r="C59" s="336"/>
      <c r="D59" s="336"/>
      <c r="E59" s="336"/>
      <c r="F59" s="338"/>
      <c r="G59" s="337"/>
      <c r="H59" s="336"/>
      <c r="I59" s="336"/>
      <c r="J59" s="334"/>
      <c r="K59" s="335"/>
      <c r="L59" s="334"/>
      <c r="M59" s="333">
        <f t="shared" si="2"/>
        <v>0</v>
      </c>
      <c r="N59" s="332">
        <f t="shared" si="1"/>
        <v>0</v>
      </c>
      <c r="O59" s="340"/>
    </row>
    <row r="60" spans="2:15" s="339" customFormat="1" ht="25.25" customHeight="1" x14ac:dyDescent="0.2">
      <c r="B60" s="336"/>
      <c r="C60" s="336"/>
      <c r="D60" s="336"/>
      <c r="E60" s="336"/>
      <c r="F60" s="338"/>
      <c r="G60" s="337"/>
      <c r="H60" s="336"/>
      <c r="I60" s="336"/>
      <c r="J60" s="334"/>
      <c r="K60" s="335"/>
      <c r="L60" s="334"/>
      <c r="M60" s="333">
        <f t="shared" si="2"/>
        <v>0</v>
      </c>
      <c r="N60" s="332">
        <f t="shared" si="1"/>
        <v>0</v>
      </c>
      <c r="O60" s="340"/>
    </row>
    <row r="61" spans="2:15" ht="25.25" customHeight="1" x14ac:dyDescent="0.2">
      <c r="B61" s="336"/>
      <c r="C61" s="336"/>
      <c r="D61" s="336"/>
      <c r="E61" s="336"/>
      <c r="F61" s="338"/>
      <c r="G61" s="338"/>
      <c r="H61" s="336"/>
      <c r="I61" s="336"/>
      <c r="J61" s="334"/>
      <c r="K61" s="334"/>
      <c r="L61" s="334"/>
      <c r="M61" s="333">
        <f t="shared" si="2"/>
        <v>0</v>
      </c>
      <c r="N61" s="332">
        <f t="shared" si="1"/>
        <v>0</v>
      </c>
    </row>
    <row r="62" spans="2:15" s="339" customFormat="1" ht="25.25" customHeight="1" x14ac:dyDescent="0.2">
      <c r="B62" s="336"/>
      <c r="C62" s="336"/>
      <c r="D62" s="336"/>
      <c r="E62" s="336"/>
      <c r="F62" s="338"/>
      <c r="G62" s="337"/>
      <c r="H62" s="336"/>
      <c r="I62" s="336"/>
      <c r="J62" s="334"/>
      <c r="K62" s="335"/>
      <c r="L62" s="334"/>
      <c r="M62" s="333">
        <f t="shared" si="2"/>
        <v>0</v>
      </c>
      <c r="N62" s="332">
        <f t="shared" si="1"/>
        <v>0</v>
      </c>
      <c r="O62" s="340"/>
    </row>
    <row r="63" spans="2:15" s="339" customFormat="1" ht="25.25" customHeight="1" x14ac:dyDescent="0.2">
      <c r="B63" s="336"/>
      <c r="C63" s="336"/>
      <c r="D63" s="336"/>
      <c r="E63" s="336"/>
      <c r="F63" s="338"/>
      <c r="G63" s="338"/>
      <c r="H63" s="336"/>
      <c r="I63" s="336"/>
      <c r="J63" s="334"/>
      <c r="K63" s="335"/>
      <c r="L63" s="334"/>
      <c r="M63" s="333">
        <f t="shared" si="2"/>
        <v>0</v>
      </c>
      <c r="N63" s="332">
        <f t="shared" si="1"/>
        <v>0</v>
      </c>
      <c r="O63" s="340"/>
    </row>
    <row r="64" spans="2:15" s="339" customFormat="1" ht="25.25" customHeight="1" x14ac:dyDescent="0.2">
      <c r="B64" s="336"/>
      <c r="C64" s="336"/>
      <c r="D64" s="336"/>
      <c r="E64" s="336"/>
      <c r="F64" s="338"/>
      <c r="G64" s="337"/>
      <c r="H64" s="336"/>
      <c r="I64" s="336"/>
      <c r="J64" s="334"/>
      <c r="K64" s="335"/>
      <c r="L64" s="334"/>
      <c r="M64" s="333">
        <f t="shared" si="2"/>
        <v>0</v>
      </c>
      <c r="N64" s="332">
        <f t="shared" si="1"/>
        <v>0</v>
      </c>
      <c r="O64" s="340"/>
    </row>
    <row r="65" spans="2:15" s="339" customFormat="1" ht="25.25" customHeight="1" x14ac:dyDescent="0.2">
      <c r="B65" s="336"/>
      <c r="C65" s="336"/>
      <c r="D65" s="336"/>
      <c r="E65" s="336"/>
      <c r="F65" s="338"/>
      <c r="G65" s="338"/>
      <c r="H65" s="336"/>
      <c r="I65" s="336"/>
      <c r="J65" s="334"/>
      <c r="K65" s="335"/>
      <c r="L65" s="334"/>
      <c r="M65" s="333">
        <f t="shared" si="2"/>
        <v>0</v>
      </c>
      <c r="N65" s="332">
        <f t="shared" si="1"/>
        <v>0</v>
      </c>
      <c r="O65" s="340"/>
    </row>
    <row r="66" spans="2:15" ht="25.25" customHeight="1" x14ac:dyDescent="0.2">
      <c r="B66" s="336"/>
      <c r="C66" s="336"/>
      <c r="D66" s="336"/>
      <c r="E66" s="336"/>
      <c r="F66" s="338"/>
      <c r="G66" s="338"/>
      <c r="H66" s="336"/>
      <c r="I66" s="336"/>
      <c r="J66" s="334"/>
      <c r="K66" s="335"/>
      <c r="L66" s="334"/>
      <c r="M66" s="333">
        <f t="shared" si="2"/>
        <v>0</v>
      </c>
      <c r="N66" s="332">
        <f t="shared" si="1"/>
        <v>0</v>
      </c>
    </row>
    <row r="67" spans="2:15" ht="25.25" customHeight="1" x14ac:dyDescent="0.2">
      <c r="B67" s="336"/>
      <c r="C67" s="336"/>
      <c r="D67" s="336"/>
      <c r="E67" s="336"/>
      <c r="F67" s="338"/>
      <c r="G67" s="338"/>
      <c r="H67" s="336"/>
      <c r="I67" s="336"/>
      <c r="J67" s="334"/>
      <c r="K67" s="335"/>
      <c r="L67" s="334"/>
      <c r="M67" s="333">
        <f t="shared" si="2"/>
        <v>0</v>
      </c>
      <c r="N67" s="332">
        <f t="shared" si="1"/>
        <v>0</v>
      </c>
    </row>
    <row r="68" spans="2:15" ht="25.25" customHeight="1" x14ac:dyDescent="0.2">
      <c r="B68" s="336"/>
      <c r="C68" s="336"/>
      <c r="D68" s="336"/>
      <c r="E68" s="336"/>
      <c r="F68" s="338"/>
      <c r="G68" s="338"/>
      <c r="H68" s="336"/>
      <c r="I68" s="336"/>
      <c r="J68" s="334"/>
      <c r="K68" s="334"/>
      <c r="L68" s="334"/>
      <c r="M68" s="333">
        <f t="shared" si="2"/>
        <v>0</v>
      </c>
      <c r="N68" s="332">
        <f t="shared" si="1"/>
        <v>0</v>
      </c>
    </row>
    <row r="69" spans="2:15" s="339" customFormat="1" ht="25.25" customHeight="1" x14ac:dyDescent="0.2">
      <c r="B69" s="336"/>
      <c r="C69" s="336"/>
      <c r="D69" s="336"/>
      <c r="E69" s="336"/>
      <c r="F69" s="338"/>
      <c r="G69" s="338"/>
      <c r="H69" s="336"/>
      <c r="I69" s="336"/>
      <c r="J69" s="334"/>
      <c r="K69" s="335"/>
      <c r="L69" s="334"/>
      <c r="M69" s="333">
        <f t="shared" si="2"/>
        <v>0</v>
      </c>
      <c r="N69" s="332">
        <f t="shared" si="1"/>
        <v>0</v>
      </c>
      <c r="O69" s="340"/>
    </row>
    <row r="70" spans="2:15" ht="25.25" customHeight="1" x14ac:dyDescent="0.2">
      <c r="B70" s="336"/>
      <c r="C70" s="336"/>
      <c r="D70" s="336"/>
      <c r="E70" s="336"/>
      <c r="F70" s="338"/>
      <c r="G70" s="338"/>
      <c r="H70" s="336"/>
      <c r="I70" s="336"/>
      <c r="J70" s="334"/>
      <c r="K70" s="334"/>
      <c r="L70" s="334"/>
      <c r="M70" s="333">
        <f t="shared" si="2"/>
        <v>0</v>
      </c>
      <c r="N70" s="332">
        <f t="shared" si="1"/>
        <v>0</v>
      </c>
    </row>
    <row r="71" spans="2:15" ht="25.25" customHeight="1" x14ac:dyDescent="0.2">
      <c r="B71" s="336"/>
      <c r="C71" s="336"/>
      <c r="D71" s="336"/>
      <c r="E71" s="336"/>
      <c r="F71" s="338"/>
      <c r="G71" s="338"/>
      <c r="H71" s="336"/>
      <c r="I71" s="336"/>
      <c r="J71" s="334"/>
      <c r="K71" s="334"/>
      <c r="L71" s="334"/>
      <c r="M71" s="333">
        <f t="shared" si="2"/>
        <v>0</v>
      </c>
      <c r="N71" s="332">
        <f t="shared" si="1"/>
        <v>0</v>
      </c>
    </row>
    <row r="72" spans="2:15" s="339" customFormat="1" ht="25.25" customHeight="1" x14ac:dyDescent="0.2">
      <c r="B72" s="336"/>
      <c r="C72" s="336"/>
      <c r="D72" s="336"/>
      <c r="E72" s="336"/>
      <c r="F72" s="338"/>
      <c r="G72" s="338"/>
      <c r="H72" s="336"/>
      <c r="I72" s="336"/>
      <c r="J72" s="334"/>
      <c r="K72" s="335"/>
      <c r="L72" s="334"/>
      <c r="M72" s="333">
        <f t="shared" si="2"/>
        <v>0</v>
      </c>
      <c r="N72" s="332">
        <f t="shared" si="1"/>
        <v>0</v>
      </c>
      <c r="O72" s="340"/>
    </row>
    <row r="73" spans="2:15" ht="25.25" customHeight="1" x14ac:dyDescent="0.2">
      <c r="B73" s="336"/>
      <c r="C73" s="336"/>
      <c r="D73" s="336"/>
      <c r="E73" s="336"/>
      <c r="F73" s="338"/>
      <c r="G73" s="338"/>
      <c r="H73" s="336"/>
      <c r="I73" s="336"/>
      <c r="J73" s="334"/>
      <c r="K73" s="334"/>
      <c r="L73" s="334"/>
      <c r="M73" s="333">
        <f t="shared" si="2"/>
        <v>0</v>
      </c>
      <c r="N73" s="332">
        <f t="shared" si="1"/>
        <v>0</v>
      </c>
    </row>
    <row r="74" spans="2:15" ht="25.25" customHeight="1" x14ac:dyDescent="0.2">
      <c r="B74" s="336"/>
      <c r="C74" s="336"/>
      <c r="D74" s="336"/>
      <c r="E74" s="336"/>
      <c r="F74" s="338"/>
      <c r="G74" s="338"/>
      <c r="H74" s="336"/>
      <c r="I74" s="336"/>
      <c r="J74" s="334"/>
      <c r="K74" s="334"/>
      <c r="L74" s="334"/>
      <c r="M74" s="333">
        <f t="shared" si="2"/>
        <v>0</v>
      </c>
      <c r="N74" s="332">
        <f t="shared" si="1"/>
        <v>0</v>
      </c>
    </row>
    <row r="75" spans="2:15" s="339" customFormat="1" ht="25.25" customHeight="1" x14ac:dyDescent="0.2">
      <c r="B75" s="336"/>
      <c r="C75" s="336"/>
      <c r="D75" s="336"/>
      <c r="E75" s="336"/>
      <c r="F75" s="338"/>
      <c r="G75" s="337"/>
      <c r="H75" s="336"/>
      <c r="I75" s="336"/>
      <c r="J75" s="334"/>
      <c r="K75" s="335"/>
      <c r="L75" s="334"/>
      <c r="M75" s="333">
        <f t="shared" si="2"/>
        <v>0</v>
      </c>
      <c r="N75" s="332">
        <f t="shared" si="1"/>
        <v>0</v>
      </c>
      <c r="O75" s="340"/>
    </row>
    <row r="76" spans="2:15" ht="25.25" customHeight="1" x14ac:dyDescent="0.2">
      <c r="B76" s="336"/>
      <c r="C76" s="336"/>
      <c r="D76" s="336"/>
      <c r="E76" s="336"/>
      <c r="F76" s="338"/>
      <c r="G76" s="338"/>
      <c r="H76" s="336"/>
      <c r="I76" s="336"/>
      <c r="J76" s="334"/>
      <c r="K76" s="334"/>
      <c r="L76" s="334"/>
      <c r="M76" s="333">
        <f t="shared" ref="M76:M107" si="3">IF(L76="",0,$L$3-L76)</f>
        <v>0</v>
      </c>
      <c r="N76" s="332">
        <f t="shared" si="1"/>
        <v>0</v>
      </c>
    </row>
    <row r="77" spans="2:15" ht="25.25" customHeight="1" x14ac:dyDescent="0.2">
      <c r="B77" s="336"/>
      <c r="C77" s="336"/>
      <c r="D77" s="336"/>
      <c r="E77" s="336"/>
      <c r="F77" s="338"/>
      <c r="G77" s="338"/>
      <c r="H77" s="336"/>
      <c r="I77" s="336"/>
      <c r="J77" s="334"/>
      <c r="K77" s="334"/>
      <c r="L77" s="334"/>
      <c r="M77" s="333">
        <f t="shared" si="3"/>
        <v>0</v>
      </c>
      <c r="N77" s="332">
        <f t="shared" ref="N77:N131" si="4">IF(I77="Split System",$G$6*J77,IF(I77="Packaged Unit",$F$6*J77,IF(I77="DOAU",$K$6*K77,IF(I77="Air Cooled Chiller",$D$6*J77,IF(I77="Water Source Heat Pumps",$E$6*J77,IF(I77="Water Cooled Chiller",$C$6*J77,IF(I77="Boiler",$J$6*K77,IF(I77="Window",$H$6*J77,IF(I77="Wall",$I$6*J77,0)))))))))</f>
        <v>0</v>
      </c>
    </row>
    <row r="78" spans="2:15" ht="25.25" customHeight="1" x14ac:dyDescent="0.2">
      <c r="B78" s="336"/>
      <c r="C78" s="336"/>
      <c r="D78" s="336"/>
      <c r="E78" s="336"/>
      <c r="F78" s="338"/>
      <c r="G78" s="338"/>
      <c r="H78" s="336"/>
      <c r="I78" s="336"/>
      <c r="J78" s="334"/>
      <c r="K78" s="334"/>
      <c r="L78" s="334"/>
      <c r="M78" s="333">
        <f t="shared" si="3"/>
        <v>0</v>
      </c>
      <c r="N78" s="332">
        <f t="shared" si="4"/>
        <v>0</v>
      </c>
    </row>
    <row r="79" spans="2:15" s="339" customFormat="1" ht="25.25" customHeight="1" x14ac:dyDescent="0.2">
      <c r="B79" s="336"/>
      <c r="C79" s="336"/>
      <c r="D79" s="336"/>
      <c r="E79" s="336"/>
      <c r="F79" s="338"/>
      <c r="G79" s="338"/>
      <c r="H79" s="336"/>
      <c r="I79" s="336"/>
      <c r="J79" s="334"/>
      <c r="K79" s="335"/>
      <c r="L79" s="334"/>
      <c r="M79" s="333">
        <f t="shared" si="3"/>
        <v>0</v>
      </c>
      <c r="N79" s="332">
        <f t="shared" si="4"/>
        <v>0</v>
      </c>
      <c r="O79" s="340"/>
    </row>
    <row r="80" spans="2:15" s="339" customFormat="1" ht="25.25" customHeight="1" x14ac:dyDescent="0.2">
      <c r="B80" s="336"/>
      <c r="C80" s="336"/>
      <c r="D80" s="336"/>
      <c r="E80" s="336"/>
      <c r="F80" s="338"/>
      <c r="G80" s="337"/>
      <c r="H80" s="336"/>
      <c r="I80" s="336"/>
      <c r="J80" s="334"/>
      <c r="K80" s="335"/>
      <c r="L80" s="334"/>
      <c r="M80" s="333">
        <f t="shared" si="3"/>
        <v>0</v>
      </c>
      <c r="N80" s="332">
        <f t="shared" si="4"/>
        <v>0</v>
      </c>
      <c r="O80" s="340"/>
    </row>
    <row r="81" spans="1:14" s="327" customFormat="1" ht="25.25" customHeight="1" x14ac:dyDescent="0.2">
      <c r="A81" s="326"/>
      <c r="B81" s="336"/>
      <c r="C81" s="336"/>
      <c r="D81" s="336"/>
      <c r="E81" s="336"/>
      <c r="F81" s="338"/>
      <c r="G81" s="338"/>
      <c r="H81" s="336"/>
      <c r="I81" s="336"/>
      <c r="J81" s="334"/>
      <c r="K81" s="334"/>
      <c r="L81" s="334"/>
      <c r="M81" s="333">
        <f t="shared" si="3"/>
        <v>0</v>
      </c>
      <c r="N81" s="332">
        <f t="shared" si="4"/>
        <v>0</v>
      </c>
    </row>
    <row r="82" spans="1:14" s="327" customFormat="1" ht="25.25" customHeight="1" x14ac:dyDescent="0.2">
      <c r="A82" s="326"/>
      <c r="B82" s="336"/>
      <c r="C82" s="336"/>
      <c r="D82" s="336"/>
      <c r="E82" s="336"/>
      <c r="F82" s="338"/>
      <c r="G82" s="338"/>
      <c r="H82" s="336"/>
      <c r="I82" s="336"/>
      <c r="J82" s="334"/>
      <c r="K82" s="334"/>
      <c r="L82" s="334"/>
      <c r="M82" s="333">
        <f t="shared" si="3"/>
        <v>0</v>
      </c>
      <c r="N82" s="332">
        <f t="shared" si="4"/>
        <v>0</v>
      </c>
    </row>
    <row r="83" spans="1:14" s="327" customFormat="1" ht="25.25" customHeight="1" x14ac:dyDescent="0.2">
      <c r="A83" s="339"/>
      <c r="B83" s="336"/>
      <c r="C83" s="336"/>
      <c r="D83" s="336"/>
      <c r="E83" s="336"/>
      <c r="F83" s="338"/>
      <c r="G83" s="338"/>
      <c r="H83" s="336"/>
      <c r="I83" s="336"/>
      <c r="J83" s="334"/>
      <c r="K83" s="335"/>
      <c r="L83" s="334"/>
      <c r="M83" s="333">
        <f t="shared" si="3"/>
        <v>0</v>
      </c>
      <c r="N83" s="332">
        <f t="shared" si="4"/>
        <v>0</v>
      </c>
    </row>
    <row r="84" spans="1:14" s="327" customFormat="1" ht="25.25" customHeight="1" x14ac:dyDescent="0.2">
      <c r="A84" s="339"/>
      <c r="B84" s="336"/>
      <c r="C84" s="336"/>
      <c r="D84" s="336"/>
      <c r="E84" s="336"/>
      <c r="F84" s="338"/>
      <c r="G84" s="337"/>
      <c r="H84" s="336"/>
      <c r="I84" s="336"/>
      <c r="J84" s="334"/>
      <c r="K84" s="335"/>
      <c r="L84" s="334"/>
      <c r="M84" s="333">
        <f t="shared" si="3"/>
        <v>0</v>
      </c>
      <c r="N84" s="332">
        <f t="shared" si="4"/>
        <v>0</v>
      </c>
    </row>
    <row r="85" spans="1:14" s="327" customFormat="1" ht="25.25" customHeight="1" x14ac:dyDescent="0.2">
      <c r="A85" s="339"/>
      <c r="B85" s="336"/>
      <c r="C85" s="336"/>
      <c r="D85" s="336"/>
      <c r="E85" s="336"/>
      <c r="F85" s="338"/>
      <c r="G85" s="337"/>
      <c r="H85" s="336"/>
      <c r="I85" s="336"/>
      <c r="J85" s="334"/>
      <c r="K85" s="335"/>
      <c r="L85" s="334"/>
      <c r="M85" s="333">
        <f t="shared" si="3"/>
        <v>0</v>
      </c>
      <c r="N85" s="332">
        <f t="shared" si="4"/>
        <v>0</v>
      </c>
    </row>
    <row r="86" spans="1:14" s="327" customFormat="1" ht="25.25" customHeight="1" x14ac:dyDescent="0.2">
      <c r="A86" s="339"/>
      <c r="B86" s="336"/>
      <c r="C86" s="336"/>
      <c r="D86" s="336"/>
      <c r="E86" s="336"/>
      <c r="F86" s="338"/>
      <c r="G86" s="338"/>
      <c r="H86" s="336"/>
      <c r="I86" s="336"/>
      <c r="J86" s="334"/>
      <c r="K86" s="335"/>
      <c r="L86" s="334"/>
      <c r="M86" s="333">
        <f t="shared" si="3"/>
        <v>0</v>
      </c>
      <c r="N86" s="332">
        <f t="shared" si="4"/>
        <v>0</v>
      </c>
    </row>
    <row r="87" spans="1:14" s="327" customFormat="1" ht="25.25" customHeight="1" x14ac:dyDescent="0.2">
      <c r="A87" s="326"/>
      <c r="B87" s="336"/>
      <c r="C87" s="336"/>
      <c r="D87" s="336"/>
      <c r="E87" s="336"/>
      <c r="F87" s="338"/>
      <c r="G87" s="338"/>
      <c r="H87" s="336"/>
      <c r="I87" s="336"/>
      <c r="J87" s="334"/>
      <c r="K87" s="334"/>
      <c r="L87" s="334"/>
      <c r="M87" s="333">
        <f t="shared" si="3"/>
        <v>0</v>
      </c>
      <c r="N87" s="332">
        <f t="shared" si="4"/>
        <v>0</v>
      </c>
    </row>
    <row r="88" spans="1:14" s="327" customFormat="1" ht="25.25" customHeight="1" x14ac:dyDescent="0.2">
      <c r="A88" s="339"/>
      <c r="B88" s="336"/>
      <c r="C88" s="336"/>
      <c r="D88" s="336"/>
      <c r="E88" s="336"/>
      <c r="F88" s="338"/>
      <c r="G88" s="337"/>
      <c r="H88" s="336"/>
      <c r="I88" s="336"/>
      <c r="J88" s="334"/>
      <c r="K88" s="335"/>
      <c r="L88" s="334"/>
      <c r="M88" s="333">
        <f t="shared" si="3"/>
        <v>0</v>
      </c>
      <c r="N88" s="332">
        <f t="shared" si="4"/>
        <v>0</v>
      </c>
    </row>
    <row r="89" spans="1:14" s="327" customFormat="1" ht="25.25" customHeight="1" x14ac:dyDescent="0.2">
      <c r="A89" s="339"/>
      <c r="B89" s="336"/>
      <c r="C89" s="336"/>
      <c r="D89" s="336"/>
      <c r="E89" s="336"/>
      <c r="F89" s="338"/>
      <c r="G89" s="338"/>
      <c r="H89" s="336"/>
      <c r="I89" s="336"/>
      <c r="J89" s="334"/>
      <c r="K89" s="335"/>
      <c r="L89" s="334"/>
      <c r="M89" s="333">
        <f t="shared" si="3"/>
        <v>0</v>
      </c>
      <c r="N89" s="332">
        <f t="shared" si="4"/>
        <v>0</v>
      </c>
    </row>
    <row r="90" spans="1:14" s="327" customFormat="1" ht="25.25" customHeight="1" x14ac:dyDescent="0.2">
      <c r="A90" s="339"/>
      <c r="B90" s="336"/>
      <c r="C90" s="336"/>
      <c r="D90" s="336"/>
      <c r="E90" s="336"/>
      <c r="F90" s="338"/>
      <c r="G90" s="338"/>
      <c r="H90" s="336"/>
      <c r="I90" s="336"/>
      <c r="J90" s="334"/>
      <c r="K90" s="335"/>
      <c r="L90" s="334"/>
      <c r="M90" s="333">
        <f t="shared" si="3"/>
        <v>0</v>
      </c>
      <c r="N90" s="332">
        <f t="shared" si="4"/>
        <v>0</v>
      </c>
    </row>
    <row r="91" spans="1:14" s="327" customFormat="1" ht="25.25" customHeight="1" x14ac:dyDescent="0.2">
      <c r="A91" s="339"/>
      <c r="B91" s="336"/>
      <c r="C91" s="336"/>
      <c r="D91" s="336"/>
      <c r="E91" s="336"/>
      <c r="F91" s="338"/>
      <c r="G91" s="337"/>
      <c r="H91" s="336"/>
      <c r="I91" s="336"/>
      <c r="J91" s="334"/>
      <c r="K91" s="335"/>
      <c r="L91" s="334"/>
      <c r="M91" s="333">
        <f t="shared" si="3"/>
        <v>0</v>
      </c>
      <c r="N91" s="332">
        <f t="shared" si="4"/>
        <v>0</v>
      </c>
    </row>
    <row r="92" spans="1:14" s="327" customFormat="1" ht="25.25" customHeight="1" x14ac:dyDescent="0.2">
      <c r="A92" s="339"/>
      <c r="B92" s="336"/>
      <c r="C92" s="336"/>
      <c r="D92" s="336"/>
      <c r="E92" s="336"/>
      <c r="F92" s="338"/>
      <c r="G92" s="337"/>
      <c r="H92" s="336"/>
      <c r="I92" s="336"/>
      <c r="J92" s="334"/>
      <c r="K92" s="335"/>
      <c r="L92" s="334"/>
      <c r="M92" s="333">
        <f t="shared" si="3"/>
        <v>0</v>
      </c>
      <c r="N92" s="332">
        <f t="shared" si="4"/>
        <v>0</v>
      </c>
    </row>
    <row r="93" spans="1:14" s="327" customFormat="1" ht="25.25" customHeight="1" x14ac:dyDescent="0.2">
      <c r="A93" s="339"/>
      <c r="B93" s="336"/>
      <c r="C93" s="336"/>
      <c r="D93" s="336"/>
      <c r="E93" s="336"/>
      <c r="F93" s="338"/>
      <c r="G93" s="337"/>
      <c r="H93" s="336"/>
      <c r="I93" s="336"/>
      <c r="J93" s="334"/>
      <c r="K93" s="335"/>
      <c r="L93" s="334"/>
      <c r="M93" s="333">
        <f t="shared" si="3"/>
        <v>0</v>
      </c>
      <c r="N93" s="332">
        <f t="shared" si="4"/>
        <v>0</v>
      </c>
    </row>
    <row r="94" spans="1:14" s="327" customFormat="1" ht="25.25" customHeight="1" x14ac:dyDescent="0.2">
      <c r="A94" s="339"/>
      <c r="B94" s="336"/>
      <c r="C94" s="336"/>
      <c r="D94" s="336"/>
      <c r="E94" s="336"/>
      <c r="F94" s="338"/>
      <c r="G94" s="337"/>
      <c r="H94" s="336"/>
      <c r="I94" s="336"/>
      <c r="J94" s="334"/>
      <c r="K94" s="335"/>
      <c r="L94" s="334"/>
      <c r="M94" s="333">
        <f t="shared" si="3"/>
        <v>0</v>
      </c>
      <c r="N94" s="332">
        <f t="shared" si="4"/>
        <v>0</v>
      </c>
    </row>
    <row r="95" spans="1:14" s="327" customFormat="1" ht="25.25" customHeight="1" x14ac:dyDescent="0.2">
      <c r="A95" s="339"/>
      <c r="B95" s="336"/>
      <c r="C95" s="336"/>
      <c r="D95" s="336"/>
      <c r="E95" s="336"/>
      <c r="F95" s="338"/>
      <c r="G95" s="338"/>
      <c r="H95" s="336"/>
      <c r="I95" s="336"/>
      <c r="J95" s="334"/>
      <c r="K95" s="335"/>
      <c r="L95" s="334"/>
      <c r="M95" s="333">
        <f t="shared" si="3"/>
        <v>0</v>
      </c>
      <c r="N95" s="332">
        <f t="shared" si="4"/>
        <v>0</v>
      </c>
    </row>
    <row r="96" spans="1:14" s="327" customFormat="1" ht="25.25" customHeight="1" x14ac:dyDescent="0.2">
      <c r="A96" s="339"/>
      <c r="B96" s="336"/>
      <c r="C96" s="336"/>
      <c r="D96" s="336"/>
      <c r="E96" s="336"/>
      <c r="F96" s="338"/>
      <c r="G96" s="338"/>
      <c r="H96" s="336"/>
      <c r="I96" s="336"/>
      <c r="J96" s="334"/>
      <c r="K96" s="335"/>
      <c r="L96" s="334"/>
      <c r="M96" s="333">
        <f t="shared" si="3"/>
        <v>0</v>
      </c>
      <c r="N96" s="332">
        <f t="shared" si="4"/>
        <v>0</v>
      </c>
    </row>
    <row r="97" spans="1:14" s="327" customFormat="1" ht="25.25" customHeight="1" x14ac:dyDescent="0.2">
      <c r="A97" s="339"/>
      <c r="B97" s="336"/>
      <c r="C97" s="336"/>
      <c r="D97" s="336"/>
      <c r="E97" s="336"/>
      <c r="F97" s="338"/>
      <c r="G97" s="337"/>
      <c r="H97" s="336"/>
      <c r="I97" s="336"/>
      <c r="J97" s="334"/>
      <c r="K97" s="335"/>
      <c r="L97" s="334"/>
      <c r="M97" s="333">
        <f t="shared" si="3"/>
        <v>0</v>
      </c>
      <c r="N97" s="332">
        <f t="shared" si="4"/>
        <v>0</v>
      </c>
    </row>
    <row r="98" spans="1:14" s="327" customFormat="1" ht="25.25" customHeight="1" x14ac:dyDescent="0.2">
      <c r="A98" s="326"/>
      <c r="B98" s="336"/>
      <c r="C98" s="336"/>
      <c r="D98" s="336"/>
      <c r="E98" s="336"/>
      <c r="F98" s="338"/>
      <c r="G98" s="338"/>
      <c r="H98" s="336"/>
      <c r="I98" s="336"/>
      <c r="J98" s="334"/>
      <c r="K98" s="334"/>
      <c r="L98" s="334"/>
      <c r="M98" s="333">
        <f t="shared" si="3"/>
        <v>0</v>
      </c>
      <c r="N98" s="332">
        <f t="shared" si="4"/>
        <v>0</v>
      </c>
    </row>
    <row r="99" spans="1:14" s="327" customFormat="1" ht="25.25" customHeight="1" x14ac:dyDescent="0.2">
      <c r="A99" s="326"/>
      <c r="B99" s="336"/>
      <c r="C99" s="336"/>
      <c r="D99" s="336"/>
      <c r="E99" s="336"/>
      <c r="F99" s="338"/>
      <c r="G99" s="338"/>
      <c r="H99" s="336"/>
      <c r="I99" s="336"/>
      <c r="J99" s="334"/>
      <c r="K99" s="334"/>
      <c r="L99" s="334"/>
      <c r="M99" s="333">
        <f t="shared" si="3"/>
        <v>0</v>
      </c>
      <c r="N99" s="332">
        <f t="shared" si="4"/>
        <v>0</v>
      </c>
    </row>
    <row r="100" spans="1:14" s="327" customFormat="1" ht="25.25" customHeight="1" x14ac:dyDescent="0.2">
      <c r="A100" s="326"/>
      <c r="B100" s="336"/>
      <c r="C100" s="336"/>
      <c r="D100" s="336"/>
      <c r="E100" s="336"/>
      <c r="F100" s="338"/>
      <c r="G100" s="338"/>
      <c r="H100" s="336"/>
      <c r="I100" s="336"/>
      <c r="J100" s="334"/>
      <c r="K100" s="334"/>
      <c r="L100" s="334"/>
      <c r="M100" s="333">
        <f t="shared" si="3"/>
        <v>0</v>
      </c>
      <c r="N100" s="332">
        <f t="shared" si="4"/>
        <v>0</v>
      </c>
    </row>
    <row r="101" spans="1:14" s="327" customFormat="1" ht="25.25" customHeight="1" x14ac:dyDescent="0.2">
      <c r="A101" s="339"/>
      <c r="B101" s="336"/>
      <c r="C101" s="336"/>
      <c r="D101" s="336"/>
      <c r="E101" s="336"/>
      <c r="F101" s="338"/>
      <c r="G101" s="338"/>
      <c r="H101" s="336"/>
      <c r="I101" s="336"/>
      <c r="J101" s="334"/>
      <c r="K101" s="335"/>
      <c r="L101" s="334"/>
      <c r="M101" s="333">
        <f t="shared" si="3"/>
        <v>0</v>
      </c>
      <c r="N101" s="332">
        <f t="shared" si="4"/>
        <v>0</v>
      </c>
    </row>
    <row r="102" spans="1:14" s="327" customFormat="1" ht="25.25" customHeight="1" x14ac:dyDescent="0.2">
      <c r="A102" s="339"/>
      <c r="B102" s="336"/>
      <c r="C102" s="336"/>
      <c r="D102" s="336"/>
      <c r="E102" s="336"/>
      <c r="F102" s="338"/>
      <c r="G102" s="338"/>
      <c r="H102" s="336"/>
      <c r="I102" s="336"/>
      <c r="J102" s="334"/>
      <c r="K102" s="335"/>
      <c r="L102" s="334"/>
      <c r="M102" s="333">
        <f t="shared" si="3"/>
        <v>0</v>
      </c>
      <c r="N102" s="332">
        <f t="shared" si="4"/>
        <v>0</v>
      </c>
    </row>
    <row r="103" spans="1:14" s="327" customFormat="1" ht="25.25" customHeight="1" x14ac:dyDescent="0.2">
      <c r="A103" s="326"/>
      <c r="B103" s="336"/>
      <c r="C103" s="336"/>
      <c r="D103" s="336"/>
      <c r="E103" s="336"/>
      <c r="F103" s="338"/>
      <c r="G103" s="338"/>
      <c r="H103" s="336"/>
      <c r="I103" s="336"/>
      <c r="J103" s="334"/>
      <c r="K103" s="334"/>
      <c r="L103" s="334"/>
      <c r="M103" s="333">
        <f t="shared" si="3"/>
        <v>0</v>
      </c>
      <c r="N103" s="332">
        <f t="shared" si="4"/>
        <v>0</v>
      </c>
    </row>
    <row r="104" spans="1:14" s="327" customFormat="1" ht="25.25" customHeight="1" x14ac:dyDescent="0.2">
      <c r="A104" s="326"/>
      <c r="B104" s="336"/>
      <c r="C104" s="336"/>
      <c r="D104" s="336"/>
      <c r="E104" s="336"/>
      <c r="F104" s="338"/>
      <c r="G104" s="338"/>
      <c r="H104" s="336"/>
      <c r="I104" s="336"/>
      <c r="J104" s="334"/>
      <c r="K104" s="334"/>
      <c r="L104" s="334"/>
      <c r="M104" s="333">
        <f t="shared" si="3"/>
        <v>0</v>
      </c>
      <c r="N104" s="332">
        <f t="shared" si="4"/>
        <v>0</v>
      </c>
    </row>
    <row r="105" spans="1:14" s="327" customFormat="1" ht="25.25" customHeight="1" x14ac:dyDescent="0.2">
      <c r="A105" s="326"/>
      <c r="B105" s="336"/>
      <c r="C105" s="336"/>
      <c r="D105" s="336"/>
      <c r="E105" s="336"/>
      <c r="F105" s="338"/>
      <c r="G105" s="338"/>
      <c r="H105" s="336"/>
      <c r="I105" s="336"/>
      <c r="J105" s="334"/>
      <c r="K105" s="334"/>
      <c r="L105" s="334"/>
      <c r="M105" s="333">
        <f t="shared" si="3"/>
        <v>0</v>
      </c>
      <c r="N105" s="332">
        <f t="shared" si="4"/>
        <v>0</v>
      </c>
    </row>
    <row r="106" spans="1:14" s="327" customFormat="1" ht="25.25" customHeight="1" x14ac:dyDescent="0.2">
      <c r="A106" s="326"/>
      <c r="B106" s="336"/>
      <c r="C106" s="336"/>
      <c r="D106" s="336"/>
      <c r="E106" s="336"/>
      <c r="F106" s="338"/>
      <c r="G106" s="338"/>
      <c r="H106" s="336"/>
      <c r="I106" s="336"/>
      <c r="J106" s="334"/>
      <c r="K106" s="334"/>
      <c r="L106" s="334"/>
      <c r="M106" s="333">
        <f t="shared" si="3"/>
        <v>0</v>
      </c>
      <c r="N106" s="332">
        <f t="shared" si="4"/>
        <v>0</v>
      </c>
    </row>
    <row r="107" spans="1:14" s="327" customFormat="1" ht="25.25" customHeight="1" x14ac:dyDescent="0.2">
      <c r="A107" s="339"/>
      <c r="B107" s="336"/>
      <c r="C107" s="336"/>
      <c r="D107" s="336"/>
      <c r="E107" s="336"/>
      <c r="F107" s="338"/>
      <c r="G107" s="338"/>
      <c r="H107" s="336"/>
      <c r="I107" s="336"/>
      <c r="J107" s="334"/>
      <c r="K107" s="335"/>
      <c r="L107" s="334"/>
      <c r="M107" s="333">
        <f t="shared" si="3"/>
        <v>0</v>
      </c>
      <c r="N107" s="332">
        <f t="shared" si="4"/>
        <v>0</v>
      </c>
    </row>
    <row r="108" spans="1:14" s="327" customFormat="1" ht="25.25" customHeight="1" x14ac:dyDescent="0.2">
      <c r="A108" s="339"/>
      <c r="B108" s="336"/>
      <c r="C108" s="336"/>
      <c r="D108" s="336"/>
      <c r="E108" s="336"/>
      <c r="F108" s="338"/>
      <c r="G108" s="337"/>
      <c r="H108" s="336"/>
      <c r="I108" s="336"/>
      <c r="J108" s="334"/>
      <c r="K108" s="335"/>
      <c r="L108" s="334"/>
      <c r="M108" s="333">
        <f t="shared" ref="M108:M131" si="5">IF(L108="",0,$L$3-L108)</f>
        <v>0</v>
      </c>
      <c r="N108" s="332">
        <f t="shared" si="4"/>
        <v>0</v>
      </c>
    </row>
    <row r="109" spans="1:14" s="327" customFormat="1" ht="25.25" customHeight="1" x14ac:dyDescent="0.2">
      <c r="A109" s="339"/>
      <c r="B109" s="336"/>
      <c r="C109" s="336"/>
      <c r="D109" s="336"/>
      <c r="E109" s="336"/>
      <c r="F109" s="338"/>
      <c r="G109" s="338"/>
      <c r="H109" s="336"/>
      <c r="I109" s="336"/>
      <c r="J109" s="334"/>
      <c r="K109" s="335"/>
      <c r="L109" s="334"/>
      <c r="M109" s="333">
        <f t="shared" si="5"/>
        <v>0</v>
      </c>
      <c r="N109" s="332">
        <f t="shared" si="4"/>
        <v>0</v>
      </c>
    </row>
    <row r="110" spans="1:14" s="327" customFormat="1" ht="25.25" customHeight="1" x14ac:dyDescent="0.2">
      <c r="A110" s="339"/>
      <c r="B110" s="336"/>
      <c r="C110" s="336"/>
      <c r="D110" s="336"/>
      <c r="E110" s="336"/>
      <c r="F110" s="338"/>
      <c r="G110" s="337"/>
      <c r="H110" s="336"/>
      <c r="I110" s="336"/>
      <c r="J110" s="334"/>
      <c r="K110" s="335"/>
      <c r="L110" s="334"/>
      <c r="M110" s="333">
        <f t="shared" si="5"/>
        <v>0</v>
      </c>
      <c r="N110" s="332">
        <f t="shared" si="4"/>
        <v>0</v>
      </c>
    </row>
    <row r="111" spans="1:14" s="327" customFormat="1" ht="25.25" customHeight="1" x14ac:dyDescent="0.2">
      <c r="A111" s="339"/>
      <c r="B111" s="336"/>
      <c r="C111" s="336"/>
      <c r="D111" s="336"/>
      <c r="E111" s="336"/>
      <c r="F111" s="338"/>
      <c r="G111" s="337"/>
      <c r="H111" s="336"/>
      <c r="I111" s="336"/>
      <c r="J111" s="334"/>
      <c r="K111" s="335"/>
      <c r="L111" s="334"/>
      <c r="M111" s="333">
        <f t="shared" si="5"/>
        <v>0</v>
      </c>
      <c r="N111" s="332">
        <f t="shared" si="4"/>
        <v>0</v>
      </c>
    </row>
    <row r="112" spans="1:14" s="327" customFormat="1" ht="25.25" customHeight="1" x14ac:dyDescent="0.2">
      <c r="A112" s="326"/>
      <c r="B112" s="336"/>
      <c r="C112" s="336"/>
      <c r="D112" s="336"/>
      <c r="E112" s="336"/>
      <c r="F112" s="338"/>
      <c r="G112" s="338"/>
      <c r="H112" s="336"/>
      <c r="I112" s="336"/>
      <c r="J112" s="334"/>
      <c r="K112" s="334"/>
      <c r="L112" s="334"/>
      <c r="M112" s="333">
        <f t="shared" si="5"/>
        <v>0</v>
      </c>
      <c r="N112" s="332">
        <f t="shared" si="4"/>
        <v>0</v>
      </c>
    </row>
    <row r="113" spans="1:14" s="327" customFormat="1" ht="25.25" customHeight="1" x14ac:dyDescent="0.2">
      <c r="A113" s="339"/>
      <c r="B113" s="336"/>
      <c r="C113" s="336"/>
      <c r="D113" s="336"/>
      <c r="E113" s="336"/>
      <c r="F113" s="338"/>
      <c r="G113" s="337"/>
      <c r="H113" s="336"/>
      <c r="I113" s="336"/>
      <c r="J113" s="334"/>
      <c r="K113" s="335"/>
      <c r="L113" s="334"/>
      <c r="M113" s="333">
        <f t="shared" si="5"/>
        <v>0</v>
      </c>
      <c r="N113" s="332">
        <f t="shared" si="4"/>
        <v>0</v>
      </c>
    </row>
    <row r="114" spans="1:14" s="327" customFormat="1" ht="25.25" customHeight="1" x14ac:dyDescent="0.2">
      <c r="A114" s="339"/>
      <c r="B114" s="336"/>
      <c r="C114" s="336"/>
      <c r="D114" s="336"/>
      <c r="E114" s="336"/>
      <c r="F114" s="338"/>
      <c r="G114" s="338"/>
      <c r="H114" s="336"/>
      <c r="I114" s="336"/>
      <c r="J114" s="334"/>
      <c r="K114" s="335"/>
      <c r="L114" s="334"/>
      <c r="M114" s="333">
        <f t="shared" si="5"/>
        <v>0</v>
      </c>
      <c r="N114" s="332">
        <f t="shared" si="4"/>
        <v>0</v>
      </c>
    </row>
    <row r="115" spans="1:14" s="327" customFormat="1" ht="25.25" customHeight="1" x14ac:dyDescent="0.2">
      <c r="A115" s="339"/>
      <c r="B115" s="336"/>
      <c r="C115" s="336"/>
      <c r="D115" s="336"/>
      <c r="E115" s="336"/>
      <c r="F115" s="338"/>
      <c r="G115" s="337"/>
      <c r="H115" s="336"/>
      <c r="I115" s="336"/>
      <c r="J115" s="334"/>
      <c r="K115" s="335"/>
      <c r="L115" s="334"/>
      <c r="M115" s="333">
        <f t="shared" si="5"/>
        <v>0</v>
      </c>
      <c r="N115" s="332">
        <f t="shared" si="4"/>
        <v>0</v>
      </c>
    </row>
    <row r="116" spans="1:14" s="327" customFormat="1" ht="25.25" customHeight="1" x14ac:dyDescent="0.2">
      <c r="A116" s="339"/>
      <c r="B116" s="336"/>
      <c r="C116" s="336"/>
      <c r="D116" s="336"/>
      <c r="E116" s="336"/>
      <c r="F116" s="338"/>
      <c r="G116" s="338"/>
      <c r="H116" s="336"/>
      <c r="I116" s="336"/>
      <c r="J116" s="334"/>
      <c r="K116" s="335"/>
      <c r="L116" s="334"/>
      <c r="M116" s="333">
        <f t="shared" si="5"/>
        <v>0</v>
      </c>
      <c r="N116" s="332">
        <f t="shared" si="4"/>
        <v>0</v>
      </c>
    </row>
    <row r="117" spans="1:14" s="327" customFormat="1" ht="25.25" customHeight="1" x14ac:dyDescent="0.2">
      <c r="A117" s="326"/>
      <c r="B117" s="336"/>
      <c r="C117" s="336"/>
      <c r="D117" s="336"/>
      <c r="E117" s="336"/>
      <c r="F117" s="338"/>
      <c r="G117" s="338"/>
      <c r="H117" s="336"/>
      <c r="I117" s="336"/>
      <c r="J117" s="334"/>
      <c r="K117" s="335"/>
      <c r="L117" s="334"/>
      <c r="M117" s="333">
        <f t="shared" si="5"/>
        <v>0</v>
      </c>
      <c r="N117" s="332">
        <f t="shared" si="4"/>
        <v>0</v>
      </c>
    </row>
    <row r="118" spans="1:14" s="327" customFormat="1" ht="25.25" customHeight="1" x14ac:dyDescent="0.2">
      <c r="A118" s="326"/>
      <c r="B118" s="336"/>
      <c r="C118" s="336"/>
      <c r="D118" s="336"/>
      <c r="E118" s="336"/>
      <c r="F118" s="338"/>
      <c r="G118" s="338"/>
      <c r="H118" s="336"/>
      <c r="I118" s="336"/>
      <c r="J118" s="334"/>
      <c r="K118" s="335"/>
      <c r="L118" s="334"/>
      <c r="M118" s="333">
        <f t="shared" si="5"/>
        <v>0</v>
      </c>
      <c r="N118" s="332">
        <f t="shared" si="4"/>
        <v>0</v>
      </c>
    </row>
    <row r="119" spans="1:14" s="327" customFormat="1" ht="25.25" customHeight="1" x14ac:dyDescent="0.2">
      <c r="A119" s="326"/>
      <c r="B119" s="336"/>
      <c r="C119" s="336"/>
      <c r="D119" s="336"/>
      <c r="E119" s="336"/>
      <c r="F119" s="338"/>
      <c r="G119" s="338"/>
      <c r="H119" s="336"/>
      <c r="I119" s="336"/>
      <c r="J119" s="334"/>
      <c r="K119" s="334"/>
      <c r="L119" s="334"/>
      <c r="M119" s="333">
        <f t="shared" si="5"/>
        <v>0</v>
      </c>
      <c r="N119" s="332">
        <f t="shared" si="4"/>
        <v>0</v>
      </c>
    </row>
    <row r="120" spans="1:14" s="327" customFormat="1" ht="25.25" customHeight="1" x14ac:dyDescent="0.2">
      <c r="A120" s="339"/>
      <c r="B120" s="336"/>
      <c r="C120" s="336"/>
      <c r="D120" s="336"/>
      <c r="E120" s="336"/>
      <c r="F120" s="338"/>
      <c r="G120" s="338"/>
      <c r="H120" s="336"/>
      <c r="I120" s="336"/>
      <c r="J120" s="334"/>
      <c r="K120" s="335"/>
      <c r="L120" s="334"/>
      <c r="M120" s="333">
        <f t="shared" si="5"/>
        <v>0</v>
      </c>
      <c r="N120" s="332">
        <f t="shared" si="4"/>
        <v>0</v>
      </c>
    </row>
    <row r="121" spans="1:14" s="327" customFormat="1" ht="25.25" customHeight="1" x14ac:dyDescent="0.2">
      <c r="A121" s="326"/>
      <c r="B121" s="336"/>
      <c r="C121" s="336"/>
      <c r="D121" s="336"/>
      <c r="E121" s="336"/>
      <c r="F121" s="338"/>
      <c r="G121" s="338"/>
      <c r="H121" s="336"/>
      <c r="I121" s="336"/>
      <c r="J121" s="334"/>
      <c r="K121" s="334"/>
      <c r="L121" s="334"/>
      <c r="M121" s="333">
        <f t="shared" si="5"/>
        <v>0</v>
      </c>
      <c r="N121" s="332">
        <f t="shared" si="4"/>
        <v>0</v>
      </c>
    </row>
    <row r="122" spans="1:14" s="327" customFormat="1" ht="25.25" customHeight="1" x14ac:dyDescent="0.2">
      <c r="A122" s="326"/>
      <c r="B122" s="336"/>
      <c r="C122" s="336"/>
      <c r="D122" s="336"/>
      <c r="E122" s="336"/>
      <c r="F122" s="338"/>
      <c r="G122" s="338"/>
      <c r="H122" s="336"/>
      <c r="I122" s="336"/>
      <c r="J122" s="334"/>
      <c r="K122" s="334"/>
      <c r="L122" s="334"/>
      <c r="M122" s="333">
        <f t="shared" si="5"/>
        <v>0</v>
      </c>
      <c r="N122" s="332">
        <f t="shared" si="4"/>
        <v>0</v>
      </c>
    </row>
    <row r="123" spans="1:14" s="327" customFormat="1" ht="25.25" customHeight="1" x14ac:dyDescent="0.2">
      <c r="A123" s="339"/>
      <c r="B123" s="336"/>
      <c r="C123" s="336"/>
      <c r="D123" s="336"/>
      <c r="E123" s="336"/>
      <c r="F123" s="338"/>
      <c r="G123" s="338"/>
      <c r="H123" s="336"/>
      <c r="I123" s="336"/>
      <c r="J123" s="334"/>
      <c r="K123" s="335"/>
      <c r="L123" s="334"/>
      <c r="M123" s="333">
        <f t="shared" si="5"/>
        <v>0</v>
      </c>
      <c r="N123" s="332">
        <f t="shared" si="4"/>
        <v>0</v>
      </c>
    </row>
    <row r="124" spans="1:14" s="327" customFormat="1" ht="25.25" customHeight="1" x14ac:dyDescent="0.2">
      <c r="A124" s="326"/>
      <c r="B124" s="336"/>
      <c r="C124" s="336"/>
      <c r="D124" s="336"/>
      <c r="E124" s="336"/>
      <c r="F124" s="338"/>
      <c r="G124" s="338"/>
      <c r="H124" s="336"/>
      <c r="I124" s="336"/>
      <c r="J124" s="334"/>
      <c r="K124" s="334"/>
      <c r="L124" s="334"/>
      <c r="M124" s="333">
        <f t="shared" si="5"/>
        <v>0</v>
      </c>
      <c r="N124" s="332">
        <f t="shared" si="4"/>
        <v>0</v>
      </c>
    </row>
    <row r="125" spans="1:14" s="327" customFormat="1" ht="25.25" customHeight="1" x14ac:dyDescent="0.2">
      <c r="A125" s="326"/>
      <c r="B125" s="336"/>
      <c r="C125" s="336"/>
      <c r="D125" s="336"/>
      <c r="E125" s="336"/>
      <c r="F125" s="338"/>
      <c r="G125" s="338"/>
      <c r="H125" s="336"/>
      <c r="I125" s="336"/>
      <c r="J125" s="334"/>
      <c r="K125" s="334"/>
      <c r="L125" s="334"/>
      <c r="M125" s="333">
        <f t="shared" si="5"/>
        <v>0</v>
      </c>
      <c r="N125" s="332">
        <f t="shared" si="4"/>
        <v>0</v>
      </c>
    </row>
    <row r="126" spans="1:14" s="327" customFormat="1" ht="25.25" customHeight="1" x14ac:dyDescent="0.2">
      <c r="A126" s="339"/>
      <c r="B126" s="336"/>
      <c r="C126" s="336"/>
      <c r="D126" s="336"/>
      <c r="E126" s="336"/>
      <c r="F126" s="338"/>
      <c r="G126" s="337"/>
      <c r="H126" s="336"/>
      <c r="I126" s="336"/>
      <c r="J126" s="334"/>
      <c r="K126" s="335"/>
      <c r="L126" s="334"/>
      <c r="M126" s="333">
        <f t="shared" si="5"/>
        <v>0</v>
      </c>
      <c r="N126" s="332">
        <f t="shared" si="4"/>
        <v>0</v>
      </c>
    </row>
    <row r="127" spans="1:14" s="327" customFormat="1" ht="25.25" customHeight="1" x14ac:dyDescent="0.2">
      <c r="A127" s="326"/>
      <c r="B127" s="336"/>
      <c r="C127" s="336"/>
      <c r="D127" s="336"/>
      <c r="E127" s="336"/>
      <c r="F127" s="338"/>
      <c r="G127" s="338"/>
      <c r="H127" s="336"/>
      <c r="I127" s="336"/>
      <c r="J127" s="334"/>
      <c r="K127" s="334"/>
      <c r="L127" s="334"/>
      <c r="M127" s="333">
        <f t="shared" si="5"/>
        <v>0</v>
      </c>
      <c r="N127" s="332">
        <f t="shared" si="4"/>
        <v>0</v>
      </c>
    </row>
    <row r="128" spans="1:14" s="327" customFormat="1" ht="25.25" customHeight="1" x14ac:dyDescent="0.2">
      <c r="A128" s="326"/>
      <c r="B128" s="336"/>
      <c r="C128" s="336"/>
      <c r="D128" s="336"/>
      <c r="E128" s="336"/>
      <c r="F128" s="338"/>
      <c r="G128" s="338"/>
      <c r="H128" s="336"/>
      <c r="I128" s="336"/>
      <c r="J128" s="334"/>
      <c r="K128" s="334"/>
      <c r="L128" s="334"/>
      <c r="M128" s="333">
        <f t="shared" si="5"/>
        <v>0</v>
      </c>
      <c r="N128" s="332">
        <f t="shared" si="4"/>
        <v>0</v>
      </c>
    </row>
    <row r="129" spans="1:14" s="327" customFormat="1" ht="25.25" customHeight="1" x14ac:dyDescent="0.2">
      <c r="A129" s="326"/>
      <c r="B129" s="336"/>
      <c r="C129" s="336"/>
      <c r="D129" s="336"/>
      <c r="E129" s="336"/>
      <c r="F129" s="338"/>
      <c r="G129" s="338"/>
      <c r="H129" s="336"/>
      <c r="I129" s="336"/>
      <c r="J129" s="334"/>
      <c r="K129" s="334"/>
      <c r="L129" s="334"/>
      <c r="M129" s="333">
        <f t="shared" si="5"/>
        <v>0</v>
      </c>
      <c r="N129" s="332">
        <f t="shared" si="4"/>
        <v>0</v>
      </c>
    </row>
    <row r="130" spans="1:14" s="327" customFormat="1" ht="25.25" customHeight="1" x14ac:dyDescent="0.2">
      <c r="A130" s="339"/>
      <c r="B130" s="336"/>
      <c r="C130" s="336"/>
      <c r="D130" s="336"/>
      <c r="E130" s="336"/>
      <c r="F130" s="338"/>
      <c r="G130" s="338"/>
      <c r="H130" s="336"/>
      <c r="I130" s="336"/>
      <c r="J130" s="334"/>
      <c r="K130" s="335"/>
      <c r="L130" s="334"/>
      <c r="M130" s="333">
        <f t="shared" si="5"/>
        <v>0</v>
      </c>
      <c r="N130" s="332">
        <f t="shared" si="4"/>
        <v>0</v>
      </c>
    </row>
    <row r="131" spans="1:14" s="327" customFormat="1" ht="25.25" customHeight="1" x14ac:dyDescent="0.2">
      <c r="A131" s="339"/>
      <c r="B131" s="336"/>
      <c r="C131" s="336"/>
      <c r="D131" s="336"/>
      <c r="E131" s="336"/>
      <c r="F131" s="338"/>
      <c r="G131" s="337"/>
      <c r="H131" s="336"/>
      <c r="I131" s="336"/>
      <c r="J131" s="334"/>
      <c r="K131" s="335"/>
      <c r="L131" s="334"/>
      <c r="M131" s="333">
        <f t="shared" si="5"/>
        <v>0</v>
      </c>
      <c r="N131" s="332">
        <f t="shared" si="4"/>
        <v>0</v>
      </c>
    </row>
    <row r="299" spans="2:15" s="390" customFormat="1" x14ac:dyDescent="0.2">
      <c r="F299" s="391"/>
      <c r="G299" s="391"/>
      <c r="J299" s="392"/>
      <c r="K299" s="393"/>
      <c r="L299" s="392"/>
      <c r="M299" s="392"/>
      <c r="N299" s="394"/>
      <c r="O299" s="395"/>
    </row>
    <row r="300" spans="2:15" s="390" customFormat="1" x14ac:dyDescent="0.2">
      <c r="B300" s="953" t="s">
        <v>604</v>
      </c>
      <c r="C300" s="954"/>
      <c r="D300" s="955"/>
      <c r="E300" s="396" t="s">
        <v>1208</v>
      </c>
      <c r="F300" s="391"/>
      <c r="G300" s="391"/>
      <c r="J300" s="392"/>
      <c r="K300" s="393"/>
      <c r="L300" s="392"/>
      <c r="M300" s="392"/>
      <c r="N300" s="394"/>
      <c r="O300" s="395"/>
    </row>
    <row r="301" spans="2:15" s="390" customFormat="1" x14ac:dyDescent="0.2">
      <c r="B301" s="429" t="s">
        <v>1192</v>
      </c>
      <c r="C301" s="430"/>
      <c r="D301" s="431"/>
      <c r="E301" s="397" t="s">
        <v>1209</v>
      </c>
      <c r="F301" s="391"/>
      <c r="G301" s="391"/>
      <c r="J301" s="392"/>
      <c r="K301" s="393"/>
      <c r="L301" s="392"/>
      <c r="M301" s="392"/>
      <c r="N301" s="394"/>
      <c r="O301" s="395"/>
    </row>
    <row r="302" spans="2:15" s="390" customFormat="1" x14ac:dyDescent="0.2">
      <c r="B302" s="429" t="s">
        <v>1189</v>
      </c>
      <c r="C302" s="430"/>
      <c r="D302" s="431"/>
      <c r="E302" s="397" t="s">
        <v>520</v>
      </c>
      <c r="F302" s="391"/>
      <c r="G302" s="391"/>
      <c r="J302" s="392"/>
      <c r="K302" s="393"/>
      <c r="L302" s="392"/>
      <c r="M302" s="392"/>
      <c r="N302" s="394"/>
      <c r="O302" s="395"/>
    </row>
    <row r="303" spans="2:15" s="390" customFormat="1" x14ac:dyDescent="0.2">
      <c r="B303" s="429" t="s">
        <v>1188</v>
      </c>
      <c r="C303" s="430"/>
      <c r="D303" s="431"/>
      <c r="E303" s="397" t="s">
        <v>499</v>
      </c>
      <c r="F303" s="391"/>
      <c r="G303" s="391"/>
      <c r="J303" s="392"/>
      <c r="K303" s="393"/>
      <c r="L303" s="392"/>
      <c r="M303" s="392"/>
      <c r="N303" s="394"/>
      <c r="O303" s="395"/>
    </row>
    <row r="304" spans="2:15" s="390" customFormat="1" x14ac:dyDescent="0.2">
      <c r="B304" s="429" t="s">
        <v>1191</v>
      </c>
      <c r="C304" s="430"/>
      <c r="D304" s="431"/>
      <c r="E304" s="397" t="s">
        <v>1193</v>
      </c>
      <c r="F304" s="391"/>
      <c r="G304" s="391"/>
      <c r="J304" s="392"/>
      <c r="K304" s="393"/>
      <c r="L304" s="392"/>
      <c r="M304" s="392"/>
      <c r="N304" s="394"/>
      <c r="O304" s="395"/>
    </row>
    <row r="305" spans="2:15" s="390" customFormat="1" x14ac:dyDescent="0.2">
      <c r="B305" s="429" t="s">
        <v>1190</v>
      </c>
      <c r="C305" s="430"/>
      <c r="D305" s="431"/>
      <c r="E305" s="397" t="s">
        <v>1210</v>
      </c>
      <c r="F305" s="391"/>
      <c r="G305" s="391"/>
      <c r="J305" s="392"/>
      <c r="K305" s="393"/>
      <c r="L305" s="392"/>
      <c r="M305" s="392"/>
      <c r="N305" s="394"/>
      <c r="O305" s="395"/>
    </row>
    <row r="306" spans="2:15" s="390" customFormat="1" x14ac:dyDescent="0.2">
      <c r="B306" s="429" t="s">
        <v>1193</v>
      </c>
      <c r="C306" s="430"/>
      <c r="D306" s="431"/>
      <c r="E306" s="397" t="s">
        <v>1211</v>
      </c>
      <c r="F306" s="391"/>
      <c r="G306" s="391"/>
      <c r="J306" s="392"/>
      <c r="K306" s="393"/>
      <c r="L306" s="392"/>
      <c r="M306" s="392"/>
      <c r="N306" s="394"/>
      <c r="O306" s="395"/>
    </row>
    <row r="307" spans="2:15" s="390" customFormat="1" x14ac:dyDescent="0.2">
      <c r="B307" s="429" t="s">
        <v>499</v>
      </c>
      <c r="C307" s="430"/>
      <c r="D307" s="431"/>
      <c r="E307" s="397" t="s">
        <v>1212</v>
      </c>
      <c r="F307" s="391"/>
      <c r="G307" s="391"/>
      <c r="J307" s="392"/>
      <c r="K307" s="393"/>
      <c r="L307" s="392"/>
      <c r="M307" s="392"/>
      <c r="N307" s="394"/>
      <c r="O307" s="395"/>
    </row>
    <row r="308" spans="2:15" s="390" customFormat="1" ht="16.5" customHeight="1" x14ac:dyDescent="0.2">
      <c r="B308" s="429" t="s">
        <v>257</v>
      </c>
      <c r="C308" s="430"/>
      <c r="D308" s="431"/>
      <c r="E308" s="397" t="s">
        <v>1213</v>
      </c>
      <c r="F308" s="391"/>
      <c r="G308" s="391"/>
      <c r="J308" s="392"/>
      <c r="K308" s="393"/>
      <c r="L308" s="392"/>
      <c r="M308" s="392"/>
      <c r="N308" s="394"/>
      <c r="O308" s="395"/>
    </row>
    <row r="309" spans="2:15" s="390" customFormat="1" x14ac:dyDescent="0.2">
      <c r="B309" s="429" t="s">
        <v>1194</v>
      </c>
      <c r="C309" s="430"/>
      <c r="D309" s="431"/>
      <c r="E309" s="397"/>
      <c r="F309" s="391"/>
      <c r="G309" s="391"/>
      <c r="J309" s="392"/>
      <c r="K309" s="393"/>
      <c r="L309" s="392"/>
      <c r="M309" s="392"/>
      <c r="N309" s="394"/>
      <c r="O309" s="395"/>
    </row>
    <row r="310" spans="2:15" s="390" customFormat="1" x14ac:dyDescent="0.2">
      <c r="B310" s="429" t="s">
        <v>1214</v>
      </c>
      <c r="C310" s="430"/>
      <c r="D310" s="431"/>
      <c r="E310" s="397"/>
      <c r="F310" s="391"/>
      <c r="G310" s="391"/>
      <c r="J310" s="392"/>
      <c r="K310" s="393"/>
      <c r="L310" s="392"/>
      <c r="M310" s="392"/>
      <c r="N310" s="394"/>
      <c r="O310" s="395"/>
    </row>
    <row r="311" spans="2:15" s="390" customFormat="1" x14ac:dyDescent="0.2">
      <c r="B311" s="429" t="s">
        <v>1215</v>
      </c>
      <c r="C311" s="430"/>
      <c r="D311" s="431"/>
      <c r="E311" s="397"/>
      <c r="F311" s="391"/>
      <c r="G311" s="391"/>
      <c r="J311" s="392"/>
      <c r="K311" s="393"/>
      <c r="L311" s="392"/>
      <c r="M311" s="392"/>
      <c r="N311" s="394"/>
      <c r="O311" s="395"/>
    </row>
    <row r="312" spans="2:15" s="390" customFormat="1" x14ac:dyDescent="0.2">
      <c r="B312" s="956"/>
      <c r="C312" s="957"/>
      <c r="D312" s="958"/>
      <c r="E312" s="397"/>
      <c r="F312" s="391"/>
      <c r="G312" s="391"/>
      <c r="J312" s="392"/>
      <c r="K312" s="393"/>
      <c r="L312" s="392"/>
      <c r="M312" s="392"/>
      <c r="N312" s="394"/>
      <c r="O312" s="395"/>
    </row>
    <row r="313" spans="2:15" s="390" customFormat="1" x14ac:dyDescent="0.2">
      <c r="B313" s="956"/>
      <c r="C313" s="957"/>
      <c r="D313" s="958"/>
      <c r="E313" s="397"/>
      <c r="F313" s="391"/>
      <c r="G313" s="391"/>
      <c r="J313" s="392"/>
      <c r="K313" s="393"/>
      <c r="L313" s="392"/>
      <c r="M313" s="392"/>
      <c r="N313" s="394"/>
      <c r="O313" s="395"/>
    </row>
    <row r="314" spans="2:15" s="390" customFormat="1" ht="14.25" customHeight="1" x14ac:dyDescent="0.2">
      <c r="B314" s="956"/>
      <c r="C314" s="957"/>
      <c r="D314" s="958"/>
      <c r="E314" s="397"/>
      <c r="F314" s="391"/>
      <c r="G314" s="391"/>
      <c r="J314" s="392"/>
      <c r="K314" s="393"/>
      <c r="L314" s="392"/>
      <c r="M314" s="392"/>
      <c r="N314" s="394"/>
      <c r="O314" s="395"/>
    </row>
    <row r="315" spans="2:15" s="390" customFormat="1" ht="14.25" customHeight="1" x14ac:dyDescent="0.2">
      <c r="B315" s="956"/>
      <c r="C315" s="957"/>
      <c r="D315" s="958"/>
      <c r="E315" s="397"/>
      <c r="F315" s="391"/>
      <c r="G315" s="391"/>
      <c r="J315" s="392"/>
      <c r="K315" s="393"/>
      <c r="L315" s="392"/>
      <c r="M315" s="392"/>
      <c r="N315" s="394"/>
      <c r="O315" s="395"/>
    </row>
    <row r="316" spans="2:15" s="390" customFormat="1" ht="14.25" customHeight="1" x14ac:dyDescent="0.2">
      <c r="B316" s="956"/>
      <c r="C316" s="957"/>
      <c r="D316" s="958"/>
      <c r="E316" s="397"/>
      <c r="F316" s="391"/>
      <c r="G316" s="391"/>
      <c r="J316" s="392"/>
      <c r="K316" s="393"/>
      <c r="L316" s="392"/>
      <c r="M316" s="392"/>
      <c r="N316" s="394"/>
      <c r="O316" s="395"/>
    </row>
    <row r="317" spans="2:15" s="390" customFormat="1" ht="14.25" customHeight="1" x14ac:dyDescent="0.2">
      <c r="B317" s="956"/>
      <c r="C317" s="957"/>
      <c r="D317" s="958"/>
      <c r="E317" s="397"/>
      <c r="F317" s="391"/>
      <c r="G317" s="391"/>
      <c r="J317" s="392"/>
      <c r="K317" s="393"/>
      <c r="L317" s="392"/>
      <c r="M317" s="392"/>
      <c r="N317" s="394"/>
      <c r="O317" s="395"/>
    </row>
    <row r="318" spans="2:15" s="390" customFormat="1" ht="14.25" customHeight="1" x14ac:dyDescent="0.2">
      <c r="B318" s="956"/>
      <c r="C318" s="957"/>
      <c r="D318" s="958"/>
      <c r="E318" s="397"/>
      <c r="F318" s="391"/>
      <c r="G318" s="391"/>
      <c r="J318" s="392"/>
      <c r="K318" s="393"/>
      <c r="L318" s="392"/>
      <c r="M318" s="392"/>
      <c r="N318" s="394"/>
      <c r="O318" s="395"/>
    </row>
    <row r="319" spans="2:15" s="390" customFormat="1" ht="14.25" customHeight="1" x14ac:dyDescent="0.2">
      <c r="B319" s="956"/>
      <c r="C319" s="957"/>
      <c r="D319" s="958"/>
      <c r="E319" s="397"/>
      <c r="F319" s="391"/>
      <c r="G319" s="391"/>
      <c r="J319" s="392"/>
      <c r="K319" s="393"/>
      <c r="L319" s="392"/>
      <c r="M319" s="392"/>
      <c r="N319" s="394"/>
      <c r="O319" s="395"/>
    </row>
    <row r="320" spans="2:15" s="390" customFormat="1" x14ac:dyDescent="0.2">
      <c r="F320" s="391"/>
      <c r="G320" s="391"/>
      <c r="J320" s="392"/>
      <c r="K320" s="393"/>
      <c r="L320" s="392"/>
      <c r="M320" s="392"/>
      <c r="N320" s="394"/>
      <c r="O320" s="395"/>
    </row>
  </sheetData>
  <mergeCells count="17">
    <mergeCell ref="B300:D300"/>
    <mergeCell ref="B318:D318"/>
    <mergeCell ref="B319:D319"/>
    <mergeCell ref="B312:D312"/>
    <mergeCell ref="B313:D313"/>
    <mergeCell ref="B314:D314"/>
    <mergeCell ref="B315:D315"/>
    <mergeCell ref="B316:D316"/>
    <mergeCell ref="B317:D317"/>
    <mergeCell ref="Q12:U13"/>
    <mergeCell ref="Q15:U16"/>
    <mergeCell ref="B1:N1"/>
    <mergeCell ref="C2:G2"/>
    <mergeCell ref="I2:J2"/>
    <mergeCell ref="C3:G3"/>
    <mergeCell ref="I3:J3"/>
    <mergeCell ref="B4:L4"/>
  </mergeCells>
  <conditionalFormatting sqref="N12:N131">
    <cfRule type="expression" dxfId="6" priority="1">
      <formula>M12=14</formula>
    </cfRule>
    <cfRule type="expression" dxfId="5" priority="2">
      <formula>M12=13</formula>
    </cfRule>
    <cfRule type="expression" dxfId="4" priority="3">
      <formula>M12=12</formula>
    </cfRule>
    <cfRule type="expression" dxfId="3" priority="4">
      <formula>M12=11</formula>
    </cfRule>
    <cfRule type="expression" dxfId="2" priority="5">
      <formula>M12=10</formula>
    </cfRule>
    <cfRule type="expression" dxfId="1" priority="6">
      <formula>M12&lt;10</formula>
    </cfRule>
    <cfRule type="expression" dxfId="0" priority="7">
      <formula>M12&gt;14</formula>
    </cfRule>
  </conditionalFormatting>
  <dataValidations count="2">
    <dataValidation type="list" allowBlank="1" showInputMessage="1" showErrorMessage="1" sqref="C12:C131" xr:uid="{211F4C79-92A5-46E8-B0A0-DAEBEE29466A}">
      <formula1>$E$301:$E$308</formula1>
    </dataValidation>
    <dataValidation type="list" allowBlank="1" showInputMessage="1" showErrorMessage="1" sqref="I12:I131" xr:uid="{042ADF4F-E818-4F38-8375-2974BC93AFAA}">
      <formula1>$B$301:$B$311</formula1>
    </dataValidation>
  </dataValidations>
  <pageMargins left="0.7" right="0.7" top="0.75" bottom="0.75" header="0.3" footer="0.3"/>
  <pageSetup scale="73" orientation="portrait" horizontalDpi="4294967295" verticalDpi="4294967295" r:id="rId1"/>
  <headerFooter>
    <oddHeader>&amp;C&amp;"-,Bold"&amp;A</oddHeader>
    <oddFooter>&amp;LPage &amp;P</oddFooter>
  </headerFooter>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8E9C7-77B8-4994-B782-B203599B1522}">
  <sheetPr codeName="Sheet12">
    <tabColor theme="3" tint="0.79998168889431442"/>
  </sheetPr>
  <dimension ref="B1:V110"/>
  <sheetViews>
    <sheetView zoomScale="80" zoomScaleNormal="80" workbookViewId="0">
      <selection activeCell="J32" sqref="J1:J1048576"/>
    </sheetView>
  </sheetViews>
  <sheetFormatPr baseColWidth="10" defaultColWidth="9" defaultRowHeight="20" customHeight="1" x14ac:dyDescent="0.2"/>
  <cols>
    <col min="1" max="1" width="6.6640625" style="365" customWidth="1"/>
    <col min="2" max="2" width="42.33203125" style="366" customWidth="1"/>
    <col min="3" max="3" width="19.83203125" style="62" customWidth="1"/>
    <col min="4" max="9" width="19.83203125" style="365" customWidth="1"/>
    <col min="10" max="16384" width="9" style="365"/>
  </cols>
  <sheetData>
    <row r="1" spans="2:18" ht="27.75" customHeight="1" x14ac:dyDescent="0.2">
      <c r="B1" s="959" t="s">
        <v>1216</v>
      </c>
      <c r="C1" s="960"/>
      <c r="D1" s="960"/>
      <c r="E1" s="960"/>
      <c r="F1" s="960"/>
      <c r="G1" s="960"/>
      <c r="H1" s="960"/>
      <c r="I1" s="960"/>
      <c r="K1" s="371"/>
    </row>
    <row r="2" spans="2:18" s="325" customFormat="1" ht="25.25" customHeight="1" x14ac:dyDescent="0.2">
      <c r="B2" s="389" t="s">
        <v>1217</v>
      </c>
      <c r="C2" s="961">
        <f>'Base Information Sheet'!B3</f>
        <v>0</v>
      </c>
      <c r="D2" s="961"/>
      <c r="E2" s="961"/>
      <c r="F2" s="961"/>
      <c r="G2" s="961"/>
      <c r="H2" s="961"/>
      <c r="I2" s="961"/>
      <c r="K2" s="371"/>
    </row>
    <row r="3" spans="2:18" s="325" customFormat="1" ht="25.25" customHeight="1" x14ac:dyDescent="0.2">
      <c r="B3" s="389" t="s">
        <v>1218</v>
      </c>
      <c r="C3" s="961">
        <f>'Base Information Sheet'!B5</f>
        <v>0</v>
      </c>
      <c r="D3" s="961"/>
      <c r="E3" s="961"/>
      <c r="F3" s="961"/>
      <c r="G3" s="961"/>
      <c r="H3" s="961"/>
      <c r="I3" s="961"/>
    </row>
    <row r="4" spans="2:18" s="325" customFormat="1" ht="25.5" customHeight="1" x14ac:dyDescent="0.2">
      <c r="B4" s="389" t="s">
        <v>1219</v>
      </c>
      <c r="C4" s="961">
        <f>'Base Information Sheet'!B7</f>
        <v>0</v>
      </c>
      <c r="D4" s="961"/>
      <c r="E4" s="961"/>
      <c r="F4" s="961"/>
      <c r="G4" s="961"/>
      <c r="H4" s="961"/>
      <c r="I4" s="961"/>
      <c r="K4" s="371"/>
    </row>
    <row r="5" spans="2:18" ht="25.25" customHeight="1" x14ac:dyDescent="0.2">
      <c r="B5" s="398"/>
      <c r="C5" s="399" t="s">
        <v>1220</v>
      </c>
      <c r="D5" s="400" t="s">
        <v>1221</v>
      </c>
      <c r="E5" s="400" t="s">
        <v>1222</v>
      </c>
      <c r="F5" s="400" t="s">
        <v>1223</v>
      </c>
      <c r="G5" s="400" t="s">
        <v>1224</v>
      </c>
      <c r="H5" s="400" t="s">
        <v>1225</v>
      </c>
      <c r="I5" s="400" t="s">
        <v>1226</v>
      </c>
      <c r="K5" s="371"/>
      <c r="L5" s="371"/>
      <c r="M5" s="371"/>
      <c r="N5" s="371"/>
      <c r="O5" s="371"/>
      <c r="P5" s="371"/>
      <c r="Q5" s="371"/>
      <c r="R5" s="371"/>
    </row>
    <row r="6" spans="2:18" ht="21.75" customHeight="1" x14ac:dyDescent="0.2">
      <c r="B6" s="381" t="s">
        <v>1227</v>
      </c>
      <c r="C6" s="388"/>
      <c r="D6" s="92"/>
      <c r="E6" s="92"/>
      <c r="F6" s="92"/>
      <c r="G6" s="92"/>
      <c r="H6" s="92"/>
      <c r="I6" s="92"/>
    </row>
    <row r="7" spans="2:18" ht="21.75" customHeight="1" x14ac:dyDescent="0.2">
      <c r="B7" s="381" t="s">
        <v>1228</v>
      </c>
      <c r="C7" s="335"/>
      <c r="D7" s="387"/>
      <c r="E7" s="387"/>
      <c r="F7" s="63"/>
      <c r="G7" s="63"/>
      <c r="H7" s="63"/>
      <c r="I7" s="63"/>
    </row>
    <row r="8" spans="2:18" ht="21.75" customHeight="1" x14ac:dyDescent="0.2">
      <c r="B8" s="381" t="s">
        <v>1229</v>
      </c>
      <c r="C8" s="386"/>
      <c r="D8" s="386"/>
      <c r="E8" s="386"/>
      <c r="F8" s="386"/>
      <c r="G8" s="386"/>
      <c r="H8" s="386"/>
      <c r="I8" s="386"/>
    </row>
    <row r="9" spans="2:18" ht="21.75" customHeight="1" x14ac:dyDescent="0.2">
      <c r="B9" s="381" t="s">
        <v>1230</v>
      </c>
      <c r="C9" s="1"/>
      <c r="D9" s="63"/>
      <c r="E9" s="334"/>
      <c r="F9" s="63"/>
      <c r="G9" s="63"/>
      <c r="H9" s="63"/>
      <c r="I9" s="63"/>
      <c r="J9" s="365" t="s">
        <v>2026</v>
      </c>
      <c r="K9" s="368"/>
    </row>
    <row r="10" spans="2:18" ht="21.75" customHeight="1" x14ac:dyDescent="0.2">
      <c r="B10" s="381" t="s">
        <v>1231</v>
      </c>
      <c r="C10" s="334"/>
      <c r="D10" s="334"/>
      <c r="E10" s="334"/>
      <c r="F10" s="334"/>
      <c r="G10" s="334"/>
      <c r="H10" s="334"/>
      <c r="I10" s="334"/>
    </row>
    <row r="11" spans="2:18" ht="21.75" customHeight="1" x14ac:dyDescent="0.2">
      <c r="B11" s="401" t="s">
        <v>1232</v>
      </c>
      <c r="C11" s="402"/>
      <c r="D11" s="402"/>
      <c r="E11" s="402"/>
      <c r="F11" s="402"/>
      <c r="G11" s="402"/>
      <c r="H11" s="402"/>
      <c r="I11" s="402"/>
      <c r="J11" s="365" t="s">
        <v>1233</v>
      </c>
    </row>
    <row r="12" spans="2:18" ht="21.75" customHeight="1" x14ac:dyDescent="0.2">
      <c r="B12" s="381" t="s">
        <v>1234</v>
      </c>
      <c r="C12" s="334"/>
      <c r="D12" s="334"/>
      <c r="E12" s="334"/>
      <c r="F12" s="63"/>
      <c r="G12" s="63"/>
      <c r="H12" s="63"/>
      <c r="I12" s="63"/>
    </row>
    <row r="13" spans="2:18" ht="21.75" customHeight="1" x14ac:dyDescent="0.2">
      <c r="B13" s="381" t="s">
        <v>1235</v>
      </c>
      <c r="C13" s="334"/>
      <c r="D13" s="63"/>
      <c r="E13" s="334"/>
      <c r="F13" s="63"/>
      <c r="G13" s="63"/>
      <c r="H13" s="63"/>
      <c r="I13" s="63"/>
    </row>
    <row r="14" spans="2:18" ht="21.75" customHeight="1" x14ac:dyDescent="0.2">
      <c r="B14" s="381" t="s">
        <v>1236</v>
      </c>
      <c r="C14" s="334"/>
      <c r="D14" s="334"/>
      <c r="E14" s="334"/>
      <c r="F14" s="63"/>
      <c r="G14" s="63"/>
      <c r="H14" s="63"/>
      <c r="I14" s="63"/>
    </row>
    <row r="15" spans="2:18" ht="21.75" customHeight="1" x14ac:dyDescent="0.2">
      <c r="B15" s="381" t="s">
        <v>1237</v>
      </c>
      <c r="C15" s="334"/>
      <c r="D15" s="63"/>
      <c r="E15" s="334"/>
      <c r="F15" s="63"/>
      <c r="G15" s="63"/>
      <c r="H15" s="63"/>
      <c r="I15" s="63"/>
    </row>
    <row r="16" spans="2:18" ht="21.75" customHeight="1" x14ac:dyDescent="0.2">
      <c r="B16" s="381" t="s">
        <v>1238</v>
      </c>
      <c r="C16" s="334"/>
      <c r="D16" s="334"/>
      <c r="E16" s="334"/>
      <c r="F16" s="63"/>
      <c r="G16" s="63"/>
      <c r="H16" s="63"/>
      <c r="I16" s="63"/>
    </row>
    <row r="17" spans="2:9" ht="21.75" customHeight="1" x14ac:dyDescent="0.2">
      <c r="B17" s="381" t="s">
        <v>1239</v>
      </c>
      <c r="C17" s="334"/>
      <c r="D17" s="63"/>
      <c r="E17" s="334"/>
      <c r="F17" s="63"/>
      <c r="G17" s="63"/>
      <c r="H17" s="63"/>
      <c r="I17" s="63"/>
    </row>
    <row r="18" spans="2:9" ht="21.75" customHeight="1" x14ac:dyDescent="0.2">
      <c r="B18" s="381" t="s">
        <v>1240</v>
      </c>
      <c r="C18" s="334"/>
      <c r="D18" s="334"/>
      <c r="E18" s="334"/>
      <c r="F18" s="63"/>
      <c r="G18" s="63"/>
      <c r="H18" s="63"/>
      <c r="I18" s="63"/>
    </row>
    <row r="19" spans="2:9" ht="21.75" customHeight="1" x14ac:dyDescent="0.2">
      <c r="B19" s="381" t="s">
        <v>1241</v>
      </c>
      <c r="C19" s="334"/>
      <c r="D19" s="63"/>
      <c r="E19" s="334"/>
      <c r="F19" s="63"/>
      <c r="G19" s="63"/>
      <c r="H19" s="63"/>
      <c r="I19" s="63"/>
    </row>
    <row r="20" spans="2:9" ht="21.75" customHeight="1" x14ac:dyDescent="0.2">
      <c r="B20" s="381" t="s">
        <v>1242</v>
      </c>
      <c r="C20" s="334"/>
      <c r="D20" s="334"/>
      <c r="E20" s="334"/>
      <c r="F20" s="63"/>
      <c r="G20" s="63"/>
      <c r="H20" s="63"/>
      <c r="I20" s="63"/>
    </row>
    <row r="21" spans="2:9" ht="21.75" customHeight="1" x14ac:dyDescent="0.2">
      <c r="B21" s="381" t="s">
        <v>1243</v>
      </c>
      <c r="C21" s="334"/>
      <c r="D21" s="63"/>
      <c r="E21" s="334"/>
      <c r="F21" s="63"/>
      <c r="G21" s="63"/>
      <c r="H21" s="63"/>
      <c r="I21" s="63"/>
    </row>
    <row r="22" spans="2:9" ht="21.75" customHeight="1" x14ac:dyDescent="0.2">
      <c r="B22" s="381" t="s">
        <v>1244</v>
      </c>
      <c r="C22" s="334"/>
      <c r="D22" s="334"/>
      <c r="E22" s="334"/>
      <c r="F22" s="334"/>
      <c r="G22" s="334"/>
      <c r="H22" s="334"/>
      <c r="I22" s="334"/>
    </row>
    <row r="23" spans="2:9" ht="21.75" customHeight="1" x14ac:dyDescent="0.2">
      <c r="B23" s="459" t="s">
        <v>1245</v>
      </c>
      <c r="C23" s="460"/>
      <c r="D23" s="460"/>
      <c r="E23" s="460"/>
      <c r="F23" s="461"/>
      <c r="G23" s="461"/>
      <c r="H23" s="461"/>
      <c r="I23" s="461"/>
    </row>
    <row r="24" spans="2:9" ht="21.75" customHeight="1" x14ac:dyDescent="0.2">
      <c r="B24" s="459" t="s">
        <v>1246</v>
      </c>
      <c r="C24" s="460"/>
      <c r="D24" s="461"/>
      <c r="E24" s="460"/>
      <c r="F24" s="461"/>
      <c r="G24" s="461"/>
      <c r="H24" s="461"/>
      <c r="I24" s="461"/>
    </row>
    <row r="25" spans="2:9" ht="21.75" customHeight="1" x14ac:dyDescent="0.2">
      <c r="B25" s="401" t="s">
        <v>1247</v>
      </c>
      <c r="C25" s="403"/>
      <c r="D25" s="403"/>
      <c r="E25" s="403"/>
      <c r="F25" s="403"/>
      <c r="G25" s="403"/>
      <c r="H25" s="403"/>
      <c r="I25" s="403"/>
    </row>
    <row r="26" spans="2:9" ht="21.75" customHeight="1" x14ac:dyDescent="0.2">
      <c r="B26" s="385" t="s">
        <v>1248</v>
      </c>
      <c r="C26" s="334"/>
      <c r="D26" s="334"/>
      <c r="E26" s="334"/>
      <c r="F26" s="334"/>
      <c r="G26" s="334"/>
      <c r="H26" s="334"/>
      <c r="I26" s="334"/>
    </row>
    <row r="27" spans="2:9" ht="21.75" customHeight="1" x14ac:dyDescent="0.2">
      <c r="B27" s="385" t="s">
        <v>1249</v>
      </c>
      <c r="C27" s="334"/>
      <c r="D27" s="334"/>
      <c r="E27" s="334"/>
      <c r="F27" s="63"/>
      <c r="G27" s="63"/>
      <c r="H27" s="63"/>
      <c r="I27" s="63"/>
    </row>
    <row r="28" spans="2:9" ht="21.75" customHeight="1" x14ac:dyDescent="0.2">
      <c r="B28" s="385" t="s">
        <v>1250</v>
      </c>
      <c r="C28" s="334"/>
      <c r="D28" s="63"/>
      <c r="E28" s="334"/>
      <c r="F28" s="63"/>
      <c r="G28" s="63"/>
      <c r="H28" s="63"/>
      <c r="I28" s="63"/>
    </row>
    <row r="29" spans="2:9" ht="21.75" customHeight="1" x14ac:dyDescent="0.2">
      <c r="B29" s="385" t="s">
        <v>1251</v>
      </c>
      <c r="C29" s="334"/>
      <c r="D29" s="334"/>
      <c r="E29" s="334"/>
      <c r="F29" s="63"/>
      <c r="G29" s="63"/>
      <c r="H29" s="63"/>
      <c r="I29" s="63"/>
    </row>
    <row r="30" spans="2:9" ht="21.75" customHeight="1" x14ac:dyDescent="0.2">
      <c r="B30" s="385" t="s">
        <v>1252</v>
      </c>
      <c r="C30" s="334"/>
      <c r="D30" s="334"/>
      <c r="E30" s="334"/>
      <c r="F30" s="63"/>
      <c r="G30" s="63"/>
      <c r="H30" s="63"/>
      <c r="I30" s="63"/>
    </row>
    <row r="31" spans="2:9" ht="21.75" customHeight="1" x14ac:dyDescent="0.2">
      <c r="B31" s="381" t="s">
        <v>1253</v>
      </c>
      <c r="C31" s="334"/>
      <c r="D31" s="334"/>
      <c r="E31" s="334"/>
      <c r="F31" s="63"/>
      <c r="G31" s="63"/>
      <c r="H31" s="63"/>
      <c r="I31" s="63"/>
    </row>
    <row r="32" spans="2:9" ht="21.75" customHeight="1" x14ac:dyDescent="0.2">
      <c r="B32" s="381" t="s">
        <v>1254</v>
      </c>
      <c r="C32" s="334"/>
      <c r="D32" s="63"/>
      <c r="E32" s="334"/>
      <c r="F32" s="63"/>
      <c r="G32" s="63"/>
      <c r="H32" s="63"/>
      <c r="I32" s="63"/>
    </row>
    <row r="33" spans="2:18" ht="21.75" customHeight="1" x14ac:dyDescent="0.2">
      <c r="B33" s="381" t="s">
        <v>1255</v>
      </c>
      <c r="C33" s="334"/>
      <c r="D33" s="334"/>
      <c r="E33" s="334"/>
      <c r="F33" s="334"/>
      <c r="G33" s="334"/>
      <c r="H33" s="334"/>
      <c r="I33" s="334"/>
    </row>
    <row r="34" spans="2:18" ht="21.75" customHeight="1" x14ac:dyDescent="0.2">
      <c r="B34" s="381" t="s">
        <v>1256</v>
      </c>
      <c r="C34" s="334"/>
      <c r="D34" s="334"/>
      <c r="E34" s="334"/>
      <c r="F34" s="334"/>
      <c r="G34" s="334"/>
      <c r="H34" s="334"/>
      <c r="I34" s="334"/>
    </row>
    <row r="35" spans="2:18" ht="21.75" customHeight="1" x14ac:dyDescent="0.2">
      <c r="B35" s="401" t="s">
        <v>1257</v>
      </c>
      <c r="C35" s="404"/>
      <c r="D35" s="404"/>
      <c r="E35" s="404"/>
      <c r="F35" s="404"/>
      <c r="G35" s="404"/>
      <c r="H35" s="404"/>
      <c r="I35" s="404"/>
    </row>
    <row r="36" spans="2:18" ht="21.75" customHeight="1" x14ac:dyDescent="0.2">
      <c r="B36" s="373" t="s">
        <v>1258</v>
      </c>
      <c r="C36" s="334"/>
      <c r="D36" s="334"/>
      <c r="E36" s="334"/>
      <c r="F36" s="63"/>
      <c r="G36" s="63"/>
      <c r="H36" s="63"/>
      <c r="I36" s="63"/>
    </row>
    <row r="37" spans="2:18" ht="21.75" customHeight="1" x14ac:dyDescent="0.2">
      <c r="B37" s="381" t="s">
        <v>1259</v>
      </c>
      <c r="C37" s="334"/>
      <c r="D37" s="63"/>
      <c r="E37" s="334"/>
      <c r="F37" s="63"/>
      <c r="G37" s="63"/>
      <c r="H37" s="63"/>
      <c r="I37" s="63"/>
    </row>
    <row r="38" spans="2:18" ht="21.75" customHeight="1" x14ac:dyDescent="0.2">
      <c r="B38" s="381" t="s">
        <v>1260</v>
      </c>
      <c r="C38" s="334"/>
      <c r="D38" s="334"/>
      <c r="E38" s="334"/>
      <c r="F38" s="63"/>
      <c r="G38" s="63"/>
      <c r="H38" s="63"/>
      <c r="I38" s="63"/>
    </row>
    <row r="39" spans="2:18" ht="21.75" customHeight="1" x14ac:dyDescent="0.2">
      <c r="B39" s="381" t="s">
        <v>1261</v>
      </c>
      <c r="C39" s="334"/>
      <c r="D39" s="334"/>
      <c r="E39" s="334"/>
      <c r="F39" s="334"/>
      <c r="G39" s="334"/>
      <c r="H39" s="334"/>
      <c r="I39" s="334"/>
    </row>
    <row r="40" spans="2:18" ht="21.75" customHeight="1" x14ac:dyDescent="0.2">
      <c r="B40" s="384" t="s">
        <v>728</v>
      </c>
      <c r="C40" s="383"/>
      <c r="D40" s="382"/>
      <c r="E40" s="382"/>
      <c r="F40" s="382"/>
      <c r="G40" s="382"/>
      <c r="H40" s="382"/>
      <c r="I40" s="382"/>
    </row>
    <row r="41" spans="2:18" ht="26.25" customHeight="1" x14ac:dyDescent="0.2">
      <c r="B41" s="401" t="s">
        <v>1262</v>
      </c>
      <c r="C41" s="438"/>
      <c r="D41" s="438"/>
      <c r="E41" s="438"/>
      <c r="F41" s="438"/>
      <c r="G41" s="438"/>
      <c r="H41" s="438"/>
      <c r="I41" s="439"/>
    </row>
    <row r="42" spans="2:18" ht="22.5" customHeight="1" x14ac:dyDescent="0.2">
      <c r="B42" s="381" t="s">
        <v>1263</v>
      </c>
      <c r="C42" s="380"/>
      <c r="D42" s="380"/>
      <c r="E42" s="380"/>
      <c r="F42" s="380"/>
      <c r="G42" s="380"/>
      <c r="H42" s="380"/>
      <c r="I42" s="380"/>
    </row>
    <row r="43" spans="2:18" ht="22.5" customHeight="1" x14ac:dyDescent="0.2">
      <c r="B43" s="381" t="s">
        <v>1264</v>
      </c>
      <c r="C43" s="380"/>
      <c r="D43" s="380"/>
      <c r="E43" s="380"/>
      <c r="F43" s="380"/>
      <c r="G43" s="380"/>
      <c r="H43" s="380"/>
      <c r="I43" s="380"/>
      <c r="J43" s="365" t="s">
        <v>2027</v>
      </c>
    </row>
    <row r="44" spans="2:18" ht="22.5" customHeight="1" x14ac:dyDescent="0.2">
      <c r="B44" s="373" t="s">
        <v>1265</v>
      </c>
      <c r="C44" s="63"/>
      <c r="D44" s="63"/>
      <c r="E44" s="63"/>
      <c r="F44" s="63"/>
      <c r="G44" s="63"/>
      <c r="H44" s="63"/>
      <c r="I44" s="63"/>
      <c r="K44" s="421"/>
      <c r="L44" s="421"/>
      <c r="M44" s="421"/>
      <c r="N44" s="421"/>
      <c r="O44" s="421"/>
      <c r="P44" s="421"/>
      <c r="Q44" s="421"/>
      <c r="R44" s="421"/>
    </row>
    <row r="45" spans="2:18" ht="22.5" customHeight="1" x14ac:dyDescent="0.2">
      <c r="B45" s="373" t="s">
        <v>1266</v>
      </c>
      <c r="C45" s="458">
        <f>IF(C8="Standing Seam Metal",'PCA Cost Tables - READ ONLY'!$L$47,IF(C8="Single Ply",'PCA Cost Tables - READ ONLY'!$L$46,IF(C8="BUR Gravel",'PCA Cost Tables - READ ONLY'!$L$45,IF(C8="Mod Bit",'PCA Cost Tables - READ ONLY'!$L$42,IF(C8="Foam",0,IF(C8="Shingle",'PCA Cost Tables - READ ONLY'!$L$41,IF(C8="Tin",0,0)))))))</f>
        <v>0</v>
      </c>
      <c r="D45" s="458">
        <f>IF(D8="Standing Seam Metal",'PCA Cost Tables - READ ONLY'!$L$47,IF(D8="Single Ply",'PCA Cost Tables - READ ONLY'!$L$46,IF(D8="BUR Gravel",'PCA Cost Tables - READ ONLY'!$L$45,IF(D8="Mod Bit",'PCA Cost Tables - READ ONLY'!$L$42,IF(D8="Foam",0,IF(D8="Shingle",'PCA Cost Tables - READ ONLY'!$L$41,IF(D8="Tin",0,0)))))))</f>
        <v>0</v>
      </c>
      <c r="E45" s="458">
        <f>IF(E8="Standing Seam Metal",'PCA Cost Tables - READ ONLY'!$L$47,IF(E8="Single Ply",'PCA Cost Tables - READ ONLY'!$L$46,IF(E8="BUR Gravel",'PCA Cost Tables - READ ONLY'!$L$45,IF(E8="Mod Bit",'PCA Cost Tables - READ ONLY'!$L$42,IF(E8="Foam",0,IF(E8="Shingle",'PCA Cost Tables - READ ONLY'!$L$41,IF(E8="Tin",0,0)))))))</f>
        <v>0</v>
      </c>
      <c r="F45" s="458">
        <f>IF(F8="Standing Seam Metal",'PCA Cost Tables - READ ONLY'!$L$47,IF(F8="Single Ply",'PCA Cost Tables - READ ONLY'!$L$46,IF(F8="BUR Gravel",'PCA Cost Tables - READ ONLY'!$L$45,IF(F8="Mod Bit",'PCA Cost Tables - READ ONLY'!$L$42,IF(F8="Foam",0,IF(F8="Shingle",'PCA Cost Tables - READ ONLY'!$L$41,IF(F8="Tin",0,0)))))))</f>
        <v>0</v>
      </c>
      <c r="G45" s="458">
        <f>IF(G8="Standing Seam Metal",'PCA Cost Tables - READ ONLY'!$L$47,IF(G8="Single Ply",'PCA Cost Tables - READ ONLY'!$L$46,IF(G8="BUR Gravel",'PCA Cost Tables - READ ONLY'!$L$45,IF(G8="Mod Bit",'PCA Cost Tables - READ ONLY'!$L$42,IF(G8="Foam",0,IF(G8="Shingle",'PCA Cost Tables - READ ONLY'!$L$41,IF(G8="Tin",0,0)))))))</f>
        <v>0</v>
      </c>
      <c r="H45" s="458">
        <f>IF(H8="Standing Seam Metal",'PCA Cost Tables - READ ONLY'!$L$47,IF(H8="Single Ply",'PCA Cost Tables - READ ONLY'!$L$46,IF(H8="BUR Gravel",'PCA Cost Tables - READ ONLY'!$L$45,IF(H8="Mod Bit",'PCA Cost Tables - READ ONLY'!$L$42,IF(H8="Foam",0,IF(H8="Shingle",'PCA Cost Tables - READ ONLY'!$L$41,IF(H8="Tin",0,0)))))))</f>
        <v>0</v>
      </c>
      <c r="I45" s="458">
        <f>IF(I8="Standing Seam Metal",'PCA Cost Tables - READ ONLY'!$L$47,IF(I8="Single Ply",'PCA Cost Tables - READ ONLY'!$L$46,IF(I8="BUR Gravel",'PCA Cost Tables - READ ONLY'!$L$45,IF(I8="Mod Bit",'PCA Cost Tables - READ ONLY'!$L$42,IF(I8="Foam",0,IF(I8="Shingle",'PCA Cost Tables - READ ONLY'!$L$41,IF(I8="Tin",0,0)))))))</f>
        <v>0</v>
      </c>
      <c r="J45" s="365" t="s">
        <v>1156</v>
      </c>
      <c r="K45" s="421"/>
      <c r="L45" s="421"/>
      <c r="M45" s="421"/>
      <c r="N45" s="421"/>
      <c r="O45" s="421"/>
      <c r="P45" s="421"/>
      <c r="Q45" s="421"/>
      <c r="R45" s="421"/>
    </row>
    <row r="46" spans="2:18" ht="22.5" customHeight="1" x14ac:dyDescent="0.2">
      <c r="B46" s="373" t="s">
        <v>1205</v>
      </c>
      <c r="C46" s="379">
        <f t="shared" ref="C46:I46" si="0">C7*C45</f>
        <v>0</v>
      </c>
      <c r="D46" s="378">
        <f t="shared" si="0"/>
        <v>0</v>
      </c>
      <c r="E46" s="378">
        <f t="shared" si="0"/>
        <v>0</v>
      </c>
      <c r="F46" s="378">
        <f t="shared" si="0"/>
        <v>0</v>
      </c>
      <c r="G46" s="378">
        <f t="shared" si="0"/>
        <v>0</v>
      </c>
      <c r="H46" s="378">
        <f t="shared" si="0"/>
        <v>0</v>
      </c>
      <c r="I46" s="378">
        <f t="shared" si="0"/>
        <v>0</v>
      </c>
      <c r="K46" s="421"/>
      <c r="L46" s="421"/>
      <c r="M46" s="421"/>
      <c r="N46" s="421"/>
      <c r="O46" s="421"/>
      <c r="P46" s="421"/>
      <c r="Q46" s="421"/>
      <c r="R46" s="421"/>
    </row>
    <row r="47" spans="2:18" ht="22.5" customHeight="1" x14ac:dyDescent="0.2">
      <c r="B47" s="373" t="s">
        <v>1267</v>
      </c>
      <c r="C47" s="963">
        <f>SUM(C46:I46)</f>
        <v>0</v>
      </c>
      <c r="D47" s="964"/>
      <c r="E47" s="964"/>
      <c r="F47" s="964"/>
      <c r="G47" s="964"/>
      <c r="H47" s="964"/>
      <c r="I47" s="965"/>
    </row>
    <row r="48" spans="2:18" ht="4.5" customHeight="1" x14ac:dyDescent="0.2">
      <c r="B48" s="377"/>
      <c r="C48" s="376"/>
      <c r="D48" s="375"/>
      <c r="E48" s="375"/>
      <c r="F48" s="375"/>
      <c r="G48" s="375"/>
      <c r="H48" s="375"/>
      <c r="I48" s="374"/>
    </row>
    <row r="49" spans="2:22" ht="22.5" customHeight="1" x14ac:dyDescent="0.2">
      <c r="B49" s="373" t="s">
        <v>1268</v>
      </c>
      <c r="C49" s="966">
        <f>'Base Information Sheet'!B31</f>
        <v>0</v>
      </c>
      <c r="D49" s="967"/>
      <c r="E49" s="967"/>
      <c r="F49" s="967"/>
      <c r="G49" s="967"/>
      <c r="H49" s="967"/>
      <c r="I49" s="968"/>
    </row>
    <row r="50" spans="2:22" ht="22.5" customHeight="1" x14ac:dyDescent="0.2">
      <c r="B50" s="373" t="s">
        <v>1269</v>
      </c>
      <c r="C50" s="969">
        <f>'Base Information Sheet'!B34</f>
        <v>0</v>
      </c>
      <c r="D50" s="970"/>
      <c r="E50" s="970"/>
      <c r="F50" s="970"/>
      <c r="G50" s="970"/>
      <c r="H50" s="970"/>
      <c r="I50" s="971"/>
    </row>
    <row r="51" spans="2:22" ht="22.5" customHeight="1" x14ac:dyDescent="0.2">
      <c r="B51" s="230"/>
      <c r="C51" s="365"/>
      <c r="K51" s="371"/>
      <c r="L51" s="371"/>
      <c r="M51" s="371"/>
      <c r="N51" s="371"/>
      <c r="O51" s="371"/>
      <c r="P51" s="371"/>
      <c r="Q51" s="371"/>
      <c r="R51" s="371"/>
      <c r="S51" s="371"/>
      <c r="T51" s="371"/>
      <c r="U51" s="371"/>
      <c r="V51" s="371"/>
    </row>
    <row r="52" spans="2:22" ht="15" x14ac:dyDescent="0.2">
      <c r="B52" s="62"/>
      <c r="D52" s="62"/>
      <c r="E52" s="62"/>
    </row>
    <row r="53" spans="2:22" ht="15" x14ac:dyDescent="0.2">
      <c r="B53" s="972" t="s">
        <v>1270</v>
      </c>
      <c r="C53" s="972"/>
      <c r="D53" s="972"/>
      <c r="E53" s="972"/>
    </row>
    <row r="54" spans="2:22" ht="48.75" customHeight="1" x14ac:dyDescent="0.2">
      <c r="B54" s="972"/>
      <c r="C54" s="972"/>
      <c r="D54" s="972"/>
      <c r="E54" s="972"/>
    </row>
    <row r="55" spans="2:22" ht="15" x14ac:dyDescent="0.2">
      <c r="B55" s="416"/>
      <c r="C55" s="416"/>
      <c r="D55" s="416"/>
      <c r="E55" s="416"/>
    </row>
    <row r="56" spans="2:22" ht="19.5" customHeight="1" x14ac:dyDescent="0.2">
      <c r="B56" s="940"/>
      <c r="C56" s="940"/>
      <c r="D56" s="940"/>
      <c r="E56" s="416"/>
    </row>
    <row r="57" spans="2:22" ht="19.5" customHeight="1" x14ac:dyDescent="0.2">
      <c r="B57" s="372"/>
    </row>
    <row r="58" spans="2:22" ht="20" customHeight="1" x14ac:dyDescent="0.2">
      <c r="B58" s="369" t="s">
        <v>1271</v>
      </c>
      <c r="C58" s="368"/>
      <c r="G58" s="371"/>
      <c r="H58" s="370"/>
      <c r="I58" s="370"/>
      <c r="J58" s="608"/>
      <c r="K58" s="370"/>
    </row>
    <row r="59" spans="2:22" ht="19.5" customHeight="1" x14ac:dyDescent="0.2">
      <c r="B59" s="973"/>
      <c r="C59" s="973"/>
      <c r="D59" s="973"/>
      <c r="E59" s="973"/>
      <c r="F59" s="973"/>
      <c r="G59" s="371"/>
      <c r="H59" s="370"/>
      <c r="I59" s="370"/>
      <c r="J59" s="608"/>
      <c r="K59" s="370"/>
    </row>
    <row r="60" spans="2:22" ht="19.5" customHeight="1" x14ac:dyDescent="0.2">
      <c r="B60" s="973"/>
      <c r="C60" s="973"/>
      <c r="D60" s="973"/>
      <c r="E60" s="973"/>
      <c r="F60" s="973"/>
      <c r="G60" s="371"/>
      <c r="H60" s="370"/>
      <c r="I60" s="370"/>
      <c r="J60" s="608"/>
      <c r="K60" s="370"/>
    </row>
    <row r="61" spans="2:22" ht="19.5" customHeight="1" x14ac:dyDescent="0.2">
      <c r="B61" s="973"/>
      <c r="C61" s="973"/>
      <c r="D61" s="973"/>
      <c r="E61" s="973"/>
      <c r="F61" s="973"/>
      <c r="G61" s="371"/>
      <c r="H61" s="370"/>
      <c r="I61" s="370"/>
      <c r="J61" s="608"/>
      <c r="K61" s="370"/>
    </row>
    <row r="62" spans="2:22" ht="19.5" customHeight="1" x14ac:dyDescent="0.2">
      <c r="B62" s="973"/>
      <c r="C62" s="973"/>
      <c r="D62" s="973"/>
      <c r="E62" s="973"/>
      <c r="F62" s="973"/>
      <c r="G62" s="371"/>
      <c r="H62" s="370"/>
      <c r="I62" s="370"/>
      <c r="J62" s="608"/>
      <c r="K62" s="370"/>
    </row>
    <row r="63" spans="2:22" ht="80.25" customHeight="1" x14ac:dyDescent="0.2">
      <c r="B63" s="973"/>
      <c r="C63" s="973"/>
      <c r="D63" s="973"/>
      <c r="E63" s="973"/>
      <c r="F63" s="973"/>
    </row>
    <row r="64" spans="2:22" ht="20" customHeight="1" x14ac:dyDescent="0.2">
      <c r="B64" s="973"/>
      <c r="C64" s="973"/>
      <c r="D64" s="973"/>
      <c r="E64" s="973"/>
      <c r="F64" s="973"/>
    </row>
    <row r="65" spans="2:6" ht="20" customHeight="1" x14ac:dyDescent="0.2">
      <c r="B65" s="973"/>
      <c r="C65" s="973"/>
      <c r="D65" s="973"/>
      <c r="E65" s="973"/>
      <c r="F65" s="973"/>
    </row>
    <row r="66" spans="2:6" ht="20" customHeight="1" x14ac:dyDescent="0.2">
      <c r="B66" s="422"/>
      <c r="C66" s="422"/>
      <c r="D66" s="420"/>
    </row>
    <row r="67" spans="2:6" ht="20" customHeight="1" x14ac:dyDescent="0.2">
      <c r="B67" s="422"/>
      <c r="C67" s="422"/>
      <c r="D67" s="420"/>
    </row>
    <row r="68" spans="2:6" ht="20" customHeight="1" x14ac:dyDescent="0.2">
      <c r="B68" s="422"/>
      <c r="C68" s="422"/>
      <c r="D68" s="420"/>
    </row>
    <row r="69" spans="2:6" ht="20" customHeight="1" x14ac:dyDescent="0.2">
      <c r="B69" s="367"/>
      <c r="C69" s="367"/>
      <c r="D69" s="420"/>
    </row>
    <row r="70" spans="2:6" ht="20" customHeight="1" x14ac:dyDescent="0.2">
      <c r="B70" s="369"/>
      <c r="C70" s="368"/>
      <c r="D70" s="420"/>
    </row>
    <row r="71" spans="2:6" ht="20" customHeight="1" x14ac:dyDescent="0.2">
      <c r="B71" s="422"/>
      <c r="C71" s="422"/>
      <c r="D71" s="420"/>
    </row>
    <row r="72" spans="2:6" ht="20" customHeight="1" x14ac:dyDescent="0.2">
      <c r="B72" s="422"/>
      <c r="C72" s="422"/>
      <c r="D72" s="420"/>
    </row>
    <row r="73" spans="2:6" ht="20" customHeight="1" x14ac:dyDescent="0.2">
      <c r="B73" s="422"/>
      <c r="C73" s="422"/>
      <c r="D73" s="420"/>
    </row>
    <row r="74" spans="2:6" ht="20" customHeight="1" x14ac:dyDescent="0.2">
      <c r="B74" s="367"/>
      <c r="C74" s="367"/>
      <c r="D74" s="420"/>
    </row>
    <row r="75" spans="2:6" ht="20" customHeight="1" x14ac:dyDescent="0.2">
      <c r="B75" s="369"/>
      <c r="C75" s="368"/>
      <c r="D75" s="420"/>
    </row>
    <row r="76" spans="2:6" ht="20" customHeight="1" x14ac:dyDescent="0.2">
      <c r="B76" s="422"/>
      <c r="C76" s="422"/>
      <c r="D76" s="420"/>
    </row>
    <row r="77" spans="2:6" ht="20" customHeight="1" x14ac:dyDescent="0.2">
      <c r="B77" s="422"/>
      <c r="C77" s="422"/>
      <c r="D77" s="420"/>
    </row>
    <row r="78" spans="2:6" ht="20" customHeight="1" x14ac:dyDescent="0.2">
      <c r="B78" s="422"/>
      <c r="C78" s="422"/>
      <c r="D78" s="420"/>
    </row>
    <row r="79" spans="2:6" ht="20" customHeight="1" x14ac:dyDescent="0.2">
      <c r="B79" s="367"/>
      <c r="C79" s="367"/>
      <c r="D79" s="420"/>
    </row>
    <row r="80" spans="2:6" ht="20" customHeight="1" x14ac:dyDescent="0.2">
      <c r="B80" s="369"/>
      <c r="C80" s="368"/>
      <c r="D80" s="420"/>
    </row>
    <row r="81" spans="2:4" ht="20" customHeight="1" x14ac:dyDescent="0.2">
      <c r="B81" s="422"/>
      <c r="C81" s="422"/>
      <c r="D81" s="420"/>
    </row>
    <row r="82" spans="2:4" ht="20" customHeight="1" x14ac:dyDescent="0.2">
      <c r="B82" s="422"/>
      <c r="C82" s="422"/>
      <c r="D82" s="420"/>
    </row>
    <row r="83" spans="2:4" ht="20" customHeight="1" x14ac:dyDescent="0.2">
      <c r="B83" s="422"/>
      <c r="C83" s="422"/>
      <c r="D83" s="420"/>
    </row>
    <row r="84" spans="2:4" ht="20" customHeight="1" x14ac:dyDescent="0.2">
      <c r="B84" s="367"/>
      <c r="C84" s="367"/>
      <c r="D84" s="420"/>
    </row>
    <row r="85" spans="2:4" ht="20" customHeight="1" x14ac:dyDescent="0.2">
      <c r="B85" s="369"/>
      <c r="C85" s="368"/>
      <c r="D85" s="420"/>
    </row>
    <row r="86" spans="2:4" ht="20" customHeight="1" x14ac:dyDescent="0.2">
      <c r="B86" s="422"/>
      <c r="C86" s="422"/>
      <c r="D86" s="420"/>
    </row>
    <row r="87" spans="2:4" ht="20" customHeight="1" x14ac:dyDescent="0.2">
      <c r="B87" s="422"/>
      <c r="C87" s="422"/>
      <c r="D87" s="420"/>
    </row>
    <row r="88" spans="2:4" ht="20" customHeight="1" x14ac:dyDescent="0.2">
      <c r="B88" s="422"/>
      <c r="C88" s="422"/>
      <c r="D88" s="420"/>
    </row>
    <row r="89" spans="2:4" ht="20" customHeight="1" x14ac:dyDescent="0.2">
      <c r="B89" s="367"/>
      <c r="C89" s="367"/>
      <c r="D89" s="420"/>
    </row>
    <row r="90" spans="2:4" ht="20" customHeight="1" x14ac:dyDescent="0.2">
      <c r="B90" s="369"/>
      <c r="C90" s="368"/>
      <c r="D90" s="420"/>
    </row>
    <row r="91" spans="2:4" ht="20" customHeight="1" x14ac:dyDescent="0.2">
      <c r="B91" s="422"/>
      <c r="C91" s="422"/>
    </row>
    <row r="92" spans="2:4" ht="20" customHeight="1" x14ac:dyDescent="0.2">
      <c r="B92" s="422"/>
      <c r="C92" s="422"/>
    </row>
    <row r="93" spans="2:4" ht="20" customHeight="1" x14ac:dyDescent="0.2">
      <c r="B93" s="422"/>
      <c r="C93" s="422"/>
    </row>
    <row r="94" spans="2:4" ht="20" customHeight="1" x14ac:dyDescent="0.2">
      <c r="B94" s="367"/>
      <c r="C94" s="367"/>
    </row>
    <row r="95" spans="2:4" ht="20" customHeight="1" x14ac:dyDescent="0.2">
      <c r="B95" s="367"/>
      <c r="C95" s="367"/>
    </row>
    <row r="96" spans="2:4" ht="19.5" customHeight="1" x14ac:dyDescent="0.2">
      <c r="B96" s="367"/>
      <c r="C96" s="367"/>
    </row>
    <row r="97" spans="2:9" s="407" customFormat="1" ht="20" customHeight="1" x14ac:dyDescent="0.2">
      <c r="B97" s="405"/>
      <c r="C97" s="406"/>
    </row>
    <row r="98" spans="2:9" s="407" customFormat="1" ht="24" x14ac:dyDescent="0.2">
      <c r="B98" s="962" t="s">
        <v>1272</v>
      </c>
      <c r="C98" s="962"/>
      <c r="D98" s="962"/>
      <c r="E98" s="962"/>
      <c r="F98" s="962"/>
      <c r="G98" s="962"/>
      <c r="H98" s="962"/>
      <c r="I98" s="962"/>
    </row>
    <row r="99" spans="2:9" s="407" customFormat="1" x14ac:dyDescent="0.2">
      <c r="B99" s="408" t="s">
        <v>1273</v>
      </c>
      <c r="C99" s="408" t="s">
        <v>1274</v>
      </c>
      <c r="D99" s="408" t="s">
        <v>1275</v>
      </c>
      <c r="E99" s="408" t="s">
        <v>1229</v>
      </c>
      <c r="F99" s="408" t="s">
        <v>1231</v>
      </c>
    </row>
    <row r="100" spans="2:9" s="407" customFormat="1" ht="15" x14ac:dyDescent="0.2">
      <c r="B100" s="409" t="s">
        <v>1276</v>
      </c>
      <c r="C100" s="409" t="s">
        <v>1277</v>
      </c>
      <c r="D100" s="409" t="s">
        <v>1276</v>
      </c>
      <c r="E100" s="409" t="s">
        <v>1278</v>
      </c>
      <c r="F100" s="409" t="s">
        <v>1279</v>
      </c>
    </row>
    <row r="101" spans="2:9" s="407" customFormat="1" ht="15" x14ac:dyDescent="0.2">
      <c r="B101" s="409" t="s">
        <v>1280</v>
      </c>
      <c r="C101" s="409" t="s">
        <v>1281</v>
      </c>
      <c r="D101" s="409" t="s">
        <v>1280</v>
      </c>
      <c r="E101" s="409" t="s">
        <v>147</v>
      </c>
      <c r="F101" s="409" t="s">
        <v>1282</v>
      </c>
    </row>
    <row r="102" spans="2:9" s="407" customFormat="1" ht="15" x14ac:dyDescent="0.2">
      <c r="B102" s="409" t="s">
        <v>1283</v>
      </c>
      <c r="C102" s="409"/>
      <c r="D102" s="409" t="s">
        <v>1283</v>
      </c>
      <c r="E102" s="409" t="s">
        <v>1284</v>
      </c>
      <c r="F102" s="409" t="s">
        <v>1285</v>
      </c>
    </row>
    <row r="103" spans="2:9" s="407" customFormat="1" ht="20" customHeight="1" x14ac:dyDescent="0.2">
      <c r="B103" s="410"/>
      <c r="C103" s="409"/>
      <c r="D103" s="409" t="s">
        <v>1286</v>
      </c>
      <c r="E103" s="409" t="s">
        <v>1287</v>
      </c>
      <c r="F103" s="409" t="s">
        <v>1288</v>
      </c>
    </row>
    <row r="104" spans="2:9" s="407" customFormat="1" ht="20" customHeight="1" x14ac:dyDescent="0.2">
      <c r="B104" s="410"/>
      <c r="C104" s="409"/>
      <c r="D104" s="409" t="s">
        <v>963</v>
      </c>
      <c r="E104" s="409" t="s">
        <v>1289</v>
      </c>
      <c r="F104" s="409"/>
    </row>
    <row r="105" spans="2:9" s="407" customFormat="1" ht="20" customHeight="1" x14ac:dyDescent="0.2">
      <c r="B105" s="410"/>
      <c r="C105" s="409"/>
      <c r="D105" s="409" t="s">
        <v>1290</v>
      </c>
      <c r="E105" s="409" t="s">
        <v>781</v>
      </c>
      <c r="F105" s="409"/>
    </row>
    <row r="106" spans="2:9" s="407" customFormat="1" ht="20" customHeight="1" x14ac:dyDescent="0.2">
      <c r="B106" s="410"/>
      <c r="C106" s="409"/>
      <c r="D106" s="409" t="s">
        <v>42</v>
      </c>
      <c r="E106" s="409" t="s">
        <v>1291</v>
      </c>
      <c r="F106" s="409"/>
    </row>
    <row r="107" spans="2:9" s="407" customFormat="1" ht="20" customHeight="1" x14ac:dyDescent="0.2">
      <c r="B107" s="410"/>
      <c r="C107" s="409"/>
      <c r="D107" s="409" t="s">
        <v>44</v>
      </c>
      <c r="E107" s="409" t="s">
        <v>728</v>
      </c>
      <c r="F107" s="409"/>
    </row>
    <row r="108" spans="2:9" s="407" customFormat="1" ht="20" customHeight="1" x14ac:dyDescent="0.2">
      <c r="B108" s="410"/>
      <c r="C108" s="409"/>
      <c r="D108" s="409" t="s">
        <v>1286</v>
      </c>
      <c r="E108" s="409"/>
      <c r="F108" s="409"/>
    </row>
    <row r="109" spans="2:9" s="407" customFormat="1" ht="20" customHeight="1" x14ac:dyDescent="0.2">
      <c r="B109" s="410"/>
      <c r="C109" s="409"/>
      <c r="D109" s="409" t="s">
        <v>963</v>
      </c>
      <c r="E109" s="409"/>
      <c r="F109" s="409"/>
    </row>
    <row r="110" spans="2:9" s="407" customFormat="1" ht="20" customHeight="1" x14ac:dyDescent="0.2">
      <c r="B110" s="405"/>
      <c r="C110" s="406"/>
      <c r="D110" s="406"/>
    </row>
  </sheetData>
  <mergeCells count="11">
    <mergeCell ref="B1:I1"/>
    <mergeCell ref="C2:I2"/>
    <mergeCell ref="C3:I3"/>
    <mergeCell ref="C4:I4"/>
    <mergeCell ref="B98:I98"/>
    <mergeCell ref="C47:I47"/>
    <mergeCell ref="C49:I49"/>
    <mergeCell ref="C50:I50"/>
    <mergeCell ref="B53:E54"/>
    <mergeCell ref="B56:D56"/>
    <mergeCell ref="B59:F65"/>
  </mergeCells>
  <dataValidations count="8">
    <dataValidation type="list" allowBlank="1" showInputMessage="1" showErrorMessage="1" sqref="C42:I42" xr:uid="{C9147CBD-3CE3-449D-927F-7D19BEDAA16D}">
      <formula1>$B$100:$B$102</formula1>
    </dataValidation>
    <dataValidation type="list" allowBlank="1" showInputMessage="1" showErrorMessage="1" prompt="Select YES if remaining life is 0-3 years or condition warrants immediate replacement." sqref="D44:I44" xr:uid="{02777712-3F04-4E15-8EAF-3F632A6F9EFE}">
      <formula1>$C$100:$C$101</formula1>
    </dataValidation>
    <dataValidation type="list" allowBlank="1" showInputMessage="1" showErrorMessage="1" sqref="D8:I8" xr:uid="{C59223CE-549D-47CB-B2BB-B49AC233E522}">
      <formula1>$E$100:$E$109</formula1>
    </dataValidation>
    <dataValidation type="list" allowBlank="1" showInputMessage="1" showErrorMessage="1" sqref="C10:I10" xr:uid="{9194BF8E-56EB-4629-BD89-729A49AAB994}">
      <formula1>$F$100:$F$103</formula1>
    </dataValidation>
    <dataValidation type="list" allowBlank="1" showInputMessage="1" showErrorMessage="1" sqref="C12:I15 C36:I36 C27:I28 C20:I22" xr:uid="{5DFA0605-D82B-4B3E-BDA7-83396F330E25}">
      <formula1>$D$105:$D$109</formula1>
    </dataValidation>
    <dataValidation type="list" allowBlank="1" showInputMessage="1" showErrorMessage="1" sqref="C37:I39 C16:I19 C26:I26 C29:I34" xr:uid="{04FFC833-B233-42FC-8E04-DAE908A6D806}">
      <formula1>$D$100:$D$104</formula1>
    </dataValidation>
    <dataValidation type="list" allowBlank="1" showInputMessage="1" showErrorMessage="1" prompt="Select YES if remaining life is 0-3 years or condition warrants immediate replacement.  Elaborate in assessor narrative." sqref="C44" xr:uid="{F29B9ADD-80BA-45F5-8F06-D60B624C5DFB}">
      <formula1>$C$100:$C$101</formula1>
    </dataValidation>
    <dataValidation type="list" allowBlank="1" showInputMessage="1" showErrorMessage="1" sqref="C8" xr:uid="{8A9C0E16-5755-4AA5-A073-292CF79C552C}">
      <formula1>$E$100:$E$107</formula1>
    </dataValidation>
  </dataValidations>
  <pageMargins left="0.7" right="0.7" top="0.75" bottom="0.75" header="0.3" footer="0.3"/>
  <pageSetup scale="73" orientation="portrait" horizontalDpi="4294967295" verticalDpi="4294967295" r:id="rId1"/>
  <headerFooter>
    <oddHeader>&amp;C&amp;"-,Bold"&amp;A</oddHeader>
    <oddFooter>&amp;LPage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theme="3" tint="0.79998168889431442"/>
  </sheetPr>
  <dimension ref="A1:E59"/>
  <sheetViews>
    <sheetView zoomScaleNormal="100" workbookViewId="0">
      <selection activeCell="L7" sqref="L7"/>
    </sheetView>
  </sheetViews>
  <sheetFormatPr baseColWidth="10" defaultColWidth="8.83203125" defaultRowHeight="15" x14ac:dyDescent="0.2"/>
  <cols>
    <col min="1" max="1" width="26.6640625" style="502" customWidth="1"/>
    <col min="2" max="4" width="16.6640625" style="502" customWidth="1"/>
    <col min="5" max="5" width="26.6640625" style="502" customWidth="1"/>
    <col min="6" max="16384" width="8.83203125" style="502"/>
  </cols>
  <sheetData>
    <row r="1" spans="1:5" x14ac:dyDescent="0.2">
      <c r="A1" s="14" t="s">
        <v>1292</v>
      </c>
      <c r="B1" s="15"/>
      <c r="C1" s="15"/>
      <c r="D1" s="15"/>
      <c r="E1" s="15"/>
    </row>
    <row r="2" spans="1:5" ht="16" x14ac:dyDescent="0.2">
      <c r="A2" s="92" t="s">
        <v>1293</v>
      </c>
      <c r="B2" s="92" t="s">
        <v>1294</v>
      </c>
      <c r="C2" s="93" t="s">
        <v>1295</v>
      </c>
      <c r="D2" s="93" t="s">
        <v>409</v>
      </c>
      <c r="E2" s="92" t="s">
        <v>1296</v>
      </c>
    </row>
    <row r="3" spans="1:5" x14ac:dyDescent="0.2">
      <c r="A3" s="23"/>
      <c r="B3" s="23"/>
      <c r="C3" s="23"/>
      <c r="D3" s="94"/>
      <c r="E3" s="428"/>
    </row>
    <row r="4" spans="1:5" x14ac:dyDescent="0.2">
      <c r="A4" s="23"/>
      <c r="B4" s="23"/>
      <c r="C4" s="23"/>
      <c r="D4" s="94"/>
      <c r="E4" s="428"/>
    </row>
    <row r="5" spans="1:5" x14ac:dyDescent="0.2">
      <c r="A5" s="23"/>
      <c r="B5" s="23"/>
      <c r="C5" s="23"/>
      <c r="D5" s="94"/>
      <c r="E5" s="428"/>
    </row>
    <row r="6" spans="1:5" x14ac:dyDescent="0.2">
      <c r="A6" s="23"/>
      <c r="B6" s="23"/>
      <c r="C6" s="23"/>
      <c r="D6" s="94"/>
      <c r="E6" s="428"/>
    </row>
    <row r="7" spans="1:5" x14ac:dyDescent="0.2">
      <c r="A7" s="23"/>
      <c r="B7" s="23"/>
      <c r="C7" s="23"/>
      <c r="D7" s="94"/>
      <c r="E7" s="428"/>
    </row>
    <row r="8" spans="1:5" x14ac:dyDescent="0.2">
      <c r="A8" s="23"/>
      <c r="B8" s="23"/>
      <c r="C8" s="23"/>
      <c r="D8" s="94"/>
      <c r="E8" s="428"/>
    </row>
    <row r="9" spans="1:5" x14ac:dyDescent="0.2">
      <c r="A9" s="23"/>
      <c r="B9" s="23"/>
      <c r="C9" s="23"/>
      <c r="D9" s="94"/>
      <c r="E9" s="428"/>
    </row>
    <row r="10" spans="1:5" x14ac:dyDescent="0.2">
      <c r="A10" s="23"/>
      <c r="B10" s="23"/>
      <c r="C10" s="23"/>
      <c r="D10" s="94"/>
      <c r="E10" s="428"/>
    </row>
    <row r="11" spans="1:5" x14ac:dyDescent="0.2">
      <c r="A11" s="23"/>
      <c r="B11" s="23"/>
      <c r="C11" s="23"/>
      <c r="D11" s="94"/>
      <c r="E11" s="428"/>
    </row>
    <row r="12" spans="1:5" x14ac:dyDescent="0.2">
      <c r="A12" s="23"/>
      <c r="B12" s="23"/>
      <c r="C12" s="23"/>
      <c r="D12" s="94"/>
      <c r="E12" s="428"/>
    </row>
    <row r="13" spans="1:5" x14ac:dyDescent="0.2">
      <c r="A13" s="23"/>
      <c r="B13" s="23"/>
      <c r="C13" s="23"/>
      <c r="D13" s="94"/>
      <c r="E13" s="428"/>
    </row>
    <row r="14" spans="1:5" x14ac:dyDescent="0.2">
      <c r="A14" s="23"/>
      <c r="B14" s="23"/>
      <c r="C14" s="23"/>
      <c r="D14" s="94"/>
      <c r="E14" s="428"/>
    </row>
    <row r="15" spans="1:5" x14ac:dyDescent="0.2">
      <c r="A15" s="23"/>
      <c r="B15" s="23"/>
      <c r="C15" s="23"/>
      <c r="D15" s="94"/>
      <c r="E15" s="428"/>
    </row>
    <row r="16" spans="1:5" x14ac:dyDescent="0.2">
      <c r="A16" s="23"/>
      <c r="B16" s="23"/>
      <c r="C16" s="23"/>
      <c r="D16" s="94"/>
      <c r="E16" s="428"/>
    </row>
    <row r="17" spans="1:5" x14ac:dyDescent="0.2">
      <c r="A17" s="23"/>
      <c r="B17" s="23"/>
      <c r="C17" s="23"/>
      <c r="D17" s="94"/>
      <c r="E17" s="428"/>
    </row>
    <row r="20" spans="1:5" x14ac:dyDescent="0.2">
      <c r="A20" s="14" t="s">
        <v>1297</v>
      </c>
      <c r="B20" s="14"/>
      <c r="C20" s="14"/>
      <c r="D20" s="14"/>
      <c r="E20" s="14"/>
    </row>
    <row r="21" spans="1:5" s="469" customFormat="1" ht="16" x14ac:dyDescent="0.2">
      <c r="A21" s="92" t="s">
        <v>1298</v>
      </c>
      <c r="B21" s="92" t="s">
        <v>1294</v>
      </c>
      <c r="C21" s="93" t="s">
        <v>1295</v>
      </c>
      <c r="D21" s="93" t="s">
        <v>409</v>
      </c>
      <c r="E21" s="92" t="s">
        <v>1296</v>
      </c>
    </row>
    <row r="22" spans="1:5" x14ac:dyDescent="0.2">
      <c r="A22" s="23"/>
      <c r="B22" s="23"/>
      <c r="C22" s="23"/>
      <c r="D22" s="94"/>
      <c r="E22" s="428"/>
    </row>
    <row r="23" spans="1:5" x14ac:dyDescent="0.2">
      <c r="A23" s="23"/>
      <c r="B23" s="23"/>
      <c r="C23" s="23"/>
      <c r="D23" s="94"/>
      <c r="E23" s="428"/>
    </row>
    <row r="24" spans="1:5" x14ac:dyDescent="0.2">
      <c r="A24" s="23"/>
      <c r="B24" s="23"/>
      <c r="C24" s="23"/>
      <c r="D24" s="94"/>
      <c r="E24" s="428"/>
    </row>
    <row r="25" spans="1:5" x14ac:dyDescent="0.2">
      <c r="A25" s="23"/>
      <c r="B25" s="23"/>
      <c r="C25" s="23"/>
      <c r="D25" s="94"/>
      <c r="E25" s="428"/>
    </row>
    <row r="26" spans="1:5" x14ac:dyDescent="0.2">
      <c r="A26" s="23"/>
      <c r="B26" s="23"/>
      <c r="C26" s="23"/>
      <c r="D26" s="94"/>
      <c r="E26" s="428"/>
    </row>
    <row r="27" spans="1:5" x14ac:dyDescent="0.2">
      <c r="A27" s="23"/>
      <c r="B27" s="23"/>
      <c r="C27" s="23"/>
      <c r="D27" s="94"/>
      <c r="E27" s="428"/>
    </row>
    <row r="28" spans="1:5" x14ac:dyDescent="0.2">
      <c r="A28" s="23"/>
      <c r="B28" s="23"/>
      <c r="C28" s="23"/>
      <c r="D28" s="94"/>
      <c r="E28" s="428"/>
    </row>
    <row r="29" spans="1:5" x14ac:dyDescent="0.2">
      <c r="A29" s="23"/>
      <c r="B29" s="23"/>
      <c r="C29" s="23"/>
      <c r="D29" s="94"/>
      <c r="E29" s="428"/>
    </row>
    <row r="30" spans="1:5" x14ac:dyDescent="0.2">
      <c r="A30" s="23"/>
      <c r="B30" s="23"/>
      <c r="C30" s="23"/>
      <c r="D30" s="94"/>
      <c r="E30" s="428"/>
    </row>
    <row r="31" spans="1:5" x14ac:dyDescent="0.2">
      <c r="A31" s="23" t="s">
        <v>21</v>
      </c>
      <c r="B31" s="23"/>
      <c r="C31" s="23"/>
      <c r="D31" s="94"/>
      <c r="E31" s="428"/>
    </row>
    <row r="32" spans="1:5" x14ac:dyDescent="0.2">
      <c r="A32" s="23"/>
      <c r="B32" s="23"/>
      <c r="C32" s="23"/>
      <c r="D32" s="94"/>
      <c r="E32" s="428"/>
    </row>
    <row r="33" spans="1:5" x14ac:dyDescent="0.2">
      <c r="A33" s="23"/>
      <c r="B33" s="23"/>
      <c r="C33" s="23"/>
      <c r="D33" s="94"/>
      <c r="E33" s="428"/>
    </row>
    <row r="34" spans="1:5" x14ac:dyDescent="0.2">
      <c r="A34" s="23"/>
      <c r="B34" s="23"/>
      <c r="C34" s="23"/>
      <c r="D34" s="94"/>
      <c r="E34" s="428"/>
    </row>
    <row r="37" spans="1:5" x14ac:dyDescent="0.2">
      <c r="A37" s="14" t="s">
        <v>1299</v>
      </c>
      <c r="B37" s="14"/>
      <c r="C37" s="14"/>
      <c r="D37" s="14"/>
      <c r="E37" s="14"/>
    </row>
    <row r="38" spans="1:5" ht="16" x14ac:dyDescent="0.2">
      <c r="A38" s="92" t="s">
        <v>407</v>
      </c>
      <c r="B38" s="93" t="s">
        <v>410</v>
      </c>
      <c r="C38" s="92" t="s">
        <v>408</v>
      </c>
      <c r="D38" s="92" t="s">
        <v>409</v>
      </c>
      <c r="E38" s="92" t="s">
        <v>49</v>
      </c>
    </row>
    <row r="39" spans="1:5" x14ac:dyDescent="0.2">
      <c r="A39" s="59"/>
      <c r="B39" s="59"/>
      <c r="C39" s="59"/>
      <c r="D39" s="427"/>
      <c r="E39" s="428"/>
    </row>
    <row r="40" spans="1:5" x14ac:dyDescent="0.2">
      <c r="A40" s="59"/>
      <c r="B40" s="59"/>
      <c r="C40" s="59"/>
      <c r="D40" s="427"/>
      <c r="E40" s="428"/>
    </row>
    <row r="41" spans="1:5" x14ac:dyDescent="0.2">
      <c r="A41" s="59"/>
      <c r="B41" s="59"/>
      <c r="C41" s="59"/>
      <c r="D41" s="427"/>
      <c r="E41" s="428"/>
    </row>
    <row r="42" spans="1:5" x14ac:dyDescent="0.2">
      <c r="A42" s="59"/>
      <c r="B42" s="59"/>
      <c r="C42" s="59"/>
      <c r="D42" s="427"/>
      <c r="E42" s="428"/>
    </row>
    <row r="43" spans="1:5" x14ac:dyDescent="0.2">
      <c r="A43" s="59"/>
      <c r="B43" s="59"/>
      <c r="C43" s="59"/>
      <c r="D43" s="427"/>
      <c r="E43" s="428"/>
    </row>
    <row r="44" spans="1:5" x14ac:dyDescent="0.2">
      <c r="A44" s="59"/>
      <c r="B44" s="59"/>
      <c r="C44" s="59"/>
      <c r="D44" s="427"/>
      <c r="E44" s="428"/>
    </row>
    <row r="45" spans="1:5" x14ac:dyDescent="0.2">
      <c r="A45" s="59"/>
      <c r="B45" s="59"/>
      <c r="C45" s="59"/>
      <c r="D45" s="427"/>
      <c r="E45" s="428"/>
    </row>
    <row r="46" spans="1:5" x14ac:dyDescent="0.2">
      <c r="A46" s="59"/>
      <c r="B46" s="59"/>
      <c r="C46" s="59"/>
      <c r="D46" s="427"/>
      <c r="E46" s="428"/>
    </row>
    <row r="47" spans="1:5" x14ac:dyDescent="0.2">
      <c r="A47" s="59"/>
      <c r="B47" s="59"/>
      <c r="C47" s="59"/>
      <c r="D47" s="427"/>
      <c r="E47" s="428"/>
    </row>
    <row r="48" spans="1:5" x14ac:dyDescent="0.2">
      <c r="A48" s="59"/>
      <c r="B48" s="59"/>
      <c r="C48" s="59"/>
      <c r="D48" s="427"/>
      <c r="E48" s="428"/>
    </row>
    <row r="49" spans="1:5" x14ac:dyDescent="0.2">
      <c r="A49" s="59"/>
      <c r="B49" s="59"/>
      <c r="C49" s="59"/>
      <c r="D49" s="427"/>
      <c r="E49" s="428"/>
    </row>
    <row r="50" spans="1:5" x14ac:dyDescent="0.2">
      <c r="A50" s="59"/>
      <c r="B50" s="59"/>
      <c r="C50" s="59"/>
      <c r="D50" s="427"/>
      <c r="E50" s="428"/>
    </row>
    <row r="51" spans="1:5" x14ac:dyDescent="0.2">
      <c r="A51" s="59"/>
      <c r="B51" s="59"/>
      <c r="C51" s="59"/>
      <c r="D51" s="427"/>
      <c r="E51" s="428"/>
    </row>
    <row r="52" spans="1:5" x14ac:dyDescent="0.2">
      <c r="A52" s="59"/>
      <c r="B52" s="59"/>
      <c r="C52" s="59"/>
      <c r="D52" s="427"/>
      <c r="E52" s="428"/>
    </row>
    <row r="53" spans="1:5" x14ac:dyDescent="0.2">
      <c r="A53" s="59"/>
      <c r="B53" s="59"/>
      <c r="C53" s="59"/>
      <c r="D53" s="427"/>
      <c r="E53" s="428"/>
    </row>
    <row r="54" spans="1:5" x14ac:dyDescent="0.2">
      <c r="A54" s="59"/>
      <c r="B54" s="59"/>
      <c r="C54" s="59"/>
      <c r="D54" s="427"/>
      <c r="E54" s="428"/>
    </row>
    <row r="55" spans="1:5" x14ac:dyDescent="0.2">
      <c r="A55" s="59"/>
      <c r="B55" s="59"/>
      <c r="C55" s="59"/>
      <c r="D55" s="427"/>
      <c r="E55" s="428"/>
    </row>
    <row r="56" spans="1:5" x14ac:dyDescent="0.2">
      <c r="A56" s="59"/>
      <c r="B56" s="59"/>
      <c r="C56" s="59"/>
      <c r="D56" s="427"/>
      <c r="E56" s="428"/>
    </row>
    <row r="57" spans="1:5" x14ac:dyDescent="0.2">
      <c r="A57" s="59"/>
      <c r="B57" s="59"/>
      <c r="C57" s="59"/>
      <c r="D57" s="427"/>
      <c r="E57" s="428"/>
    </row>
    <row r="58" spans="1:5" x14ac:dyDescent="0.2">
      <c r="A58" s="59"/>
      <c r="B58" s="59"/>
      <c r="C58" s="59"/>
      <c r="D58" s="427"/>
      <c r="E58" s="428"/>
    </row>
    <row r="59" spans="1:5" x14ac:dyDescent="0.2">
      <c r="A59" s="59"/>
      <c r="B59" s="59"/>
      <c r="C59" s="59"/>
      <c r="D59" s="427"/>
      <c r="E59" s="428"/>
    </row>
  </sheetData>
  <pageMargins left="0.7" right="0.7" top="0.75" bottom="0.75" header="0.3" footer="0.3"/>
  <pageSetup scale="73" orientation="portrait" r:id="rId1"/>
  <headerFooter>
    <oddHeader>&amp;C&amp;"-,Bold"&amp;A</oddHeader>
    <oddFooter>&amp;LPage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tabColor theme="3" tint="0.79998168889431442"/>
  </sheetPr>
  <dimension ref="A1:O55"/>
  <sheetViews>
    <sheetView zoomScale="90" zoomScaleNormal="90" zoomScaleSheetLayoutView="100" zoomScalePageLayoutView="40" workbookViewId="0">
      <selection activeCell="E26" sqref="E26"/>
    </sheetView>
  </sheetViews>
  <sheetFormatPr baseColWidth="10" defaultColWidth="9.1640625" defaultRowHeight="14" x14ac:dyDescent="0.2"/>
  <cols>
    <col min="1" max="1" width="76.6640625" style="609" customWidth="1"/>
    <col min="2" max="4" width="4.6640625" style="609" customWidth="1"/>
    <col min="5" max="5" width="23.6640625" style="609" customWidth="1"/>
    <col min="6" max="16384" width="9.1640625" style="609"/>
  </cols>
  <sheetData>
    <row r="1" spans="1:15" ht="22.25" customHeight="1" x14ac:dyDescent="0.2">
      <c r="A1" s="974" t="s">
        <v>2066</v>
      </c>
      <c r="B1" s="975"/>
      <c r="C1" s="975"/>
      <c r="D1" s="975"/>
      <c r="E1" s="976"/>
    </row>
    <row r="2" spans="1:15" ht="3" customHeight="1" x14ac:dyDescent="0.2">
      <c r="A2" s="977"/>
      <c r="B2" s="978"/>
      <c r="C2" s="978"/>
      <c r="D2" s="978"/>
      <c r="E2" s="979"/>
    </row>
    <row r="3" spans="1:15" ht="17.25" customHeight="1" x14ac:dyDescent="0.2">
      <c r="A3" s="70"/>
      <c r="B3" s="83" t="s">
        <v>1300</v>
      </c>
      <c r="C3" s="83" t="s">
        <v>1301</v>
      </c>
      <c r="D3" s="83" t="s">
        <v>963</v>
      </c>
      <c r="E3" s="84" t="s">
        <v>1302</v>
      </c>
    </row>
    <row r="4" spans="1:15" ht="3" customHeight="1" x14ac:dyDescent="0.2">
      <c r="A4" s="71"/>
      <c r="B4" s="72"/>
      <c r="C4" s="72"/>
      <c r="D4" s="72"/>
      <c r="E4" s="73"/>
    </row>
    <row r="5" spans="1:15" ht="17" customHeight="1" x14ac:dyDescent="0.2">
      <c r="A5" s="74" t="s">
        <v>1303</v>
      </c>
      <c r="B5" s="75"/>
      <c r="C5" s="75"/>
      <c r="D5" s="75"/>
      <c r="E5" s="76"/>
    </row>
    <row r="6" spans="1:15" ht="17" customHeight="1" x14ac:dyDescent="0.2">
      <c r="A6" s="74" t="s">
        <v>1304</v>
      </c>
      <c r="B6" s="75"/>
      <c r="C6" s="75"/>
      <c r="D6" s="75"/>
      <c r="E6" s="76"/>
    </row>
    <row r="7" spans="1:15" ht="17" customHeight="1" x14ac:dyDescent="0.2">
      <c r="A7" s="74" t="s">
        <v>1305</v>
      </c>
      <c r="B7" s="75"/>
      <c r="C7" s="75"/>
      <c r="D7" s="75"/>
      <c r="E7" s="76"/>
    </row>
    <row r="8" spans="1:15" ht="17" customHeight="1" x14ac:dyDescent="0.2">
      <c r="A8" s="74" t="s">
        <v>1306</v>
      </c>
      <c r="B8" s="75"/>
      <c r="C8" s="75"/>
      <c r="D8" s="75"/>
      <c r="E8" s="76"/>
    </row>
    <row r="9" spans="1:15" ht="17" customHeight="1" x14ac:dyDescent="0.2">
      <c r="A9" s="74" t="s">
        <v>1307</v>
      </c>
      <c r="B9" s="75"/>
      <c r="C9" s="75"/>
      <c r="D9" s="75"/>
      <c r="E9" s="76"/>
    </row>
    <row r="10" spans="1:15" ht="17" customHeight="1" x14ac:dyDescent="0.2">
      <c r="A10" s="74" t="s">
        <v>1308</v>
      </c>
      <c r="B10" s="75"/>
      <c r="C10" s="75"/>
      <c r="D10" s="75"/>
      <c r="E10" s="76"/>
    </row>
    <row r="11" spans="1:15" ht="17" customHeight="1" x14ac:dyDescent="0.2">
      <c r="A11" s="74" t="s">
        <v>1309</v>
      </c>
      <c r="B11" s="75"/>
      <c r="C11" s="75"/>
      <c r="D11" s="75"/>
      <c r="E11" s="76"/>
    </row>
    <row r="12" spans="1:15" ht="17" customHeight="1" x14ac:dyDescent="0.2">
      <c r="A12" s="74" t="s">
        <v>1310</v>
      </c>
      <c r="B12" s="75"/>
      <c r="C12" s="75"/>
      <c r="D12" s="75"/>
      <c r="E12" s="76"/>
    </row>
    <row r="13" spans="1:15" ht="17" customHeight="1" x14ac:dyDescent="0.2">
      <c r="A13" s="86" t="s">
        <v>1311</v>
      </c>
      <c r="B13" s="75"/>
      <c r="C13" s="75"/>
      <c r="D13" s="75"/>
      <c r="E13" s="76"/>
    </row>
    <row r="14" spans="1:15" ht="17" customHeight="1" x14ac:dyDescent="0.2">
      <c r="A14" s="86" t="s">
        <v>1312</v>
      </c>
      <c r="B14" s="75"/>
      <c r="C14" s="75"/>
      <c r="D14" s="75"/>
      <c r="E14" s="76"/>
    </row>
    <row r="15" spans="1:15" ht="17" customHeight="1" x14ac:dyDescent="0.2">
      <c r="A15" s="86" t="s">
        <v>1313</v>
      </c>
      <c r="B15" s="75"/>
      <c r="C15" s="75"/>
      <c r="D15" s="75"/>
      <c r="E15" s="76"/>
    </row>
    <row r="16" spans="1:15" ht="17" customHeight="1" x14ac:dyDescent="0.2">
      <c r="A16" s="86" t="s">
        <v>1314</v>
      </c>
      <c r="B16" s="75"/>
      <c r="C16" s="75"/>
      <c r="D16" s="75"/>
      <c r="E16" s="76"/>
      <c r="O16" s="610"/>
    </row>
    <row r="17" spans="1:5" ht="17" customHeight="1" x14ac:dyDescent="0.2">
      <c r="A17" s="86" t="s">
        <v>1315</v>
      </c>
      <c r="B17" s="75"/>
      <c r="C17" s="75"/>
      <c r="D17" s="75"/>
      <c r="E17" s="76"/>
    </row>
    <row r="18" spans="1:5" ht="17" customHeight="1" x14ac:dyDescent="0.2">
      <c r="A18" s="74" t="s">
        <v>1316</v>
      </c>
      <c r="B18" s="75"/>
      <c r="C18" s="75"/>
      <c r="D18" s="75"/>
      <c r="E18" s="76"/>
    </row>
    <row r="19" spans="1:5" ht="17" customHeight="1" x14ac:dyDescent="0.2">
      <c r="A19" s="74" t="s">
        <v>1317</v>
      </c>
      <c r="B19" s="75"/>
      <c r="C19" s="75"/>
      <c r="D19" s="75"/>
      <c r="E19" s="76"/>
    </row>
    <row r="20" spans="1:5" ht="17" customHeight="1" x14ac:dyDescent="0.2">
      <c r="A20" s="74" t="s">
        <v>1318</v>
      </c>
      <c r="B20" s="75"/>
      <c r="C20" s="75"/>
      <c r="D20" s="75"/>
      <c r="E20" s="76"/>
    </row>
    <row r="21" spans="1:5" ht="17" customHeight="1" x14ac:dyDescent="0.2">
      <c r="A21" s="74" t="s">
        <v>1319</v>
      </c>
      <c r="B21" s="75"/>
      <c r="C21" s="75"/>
      <c r="D21" s="75"/>
      <c r="E21" s="76"/>
    </row>
    <row r="22" spans="1:5" ht="17" customHeight="1" x14ac:dyDescent="0.2">
      <c r="A22" s="74" t="s">
        <v>1320</v>
      </c>
      <c r="B22" s="75"/>
      <c r="C22" s="75"/>
      <c r="D22" s="75"/>
      <c r="E22" s="76"/>
    </row>
    <row r="23" spans="1:5" ht="17" customHeight="1" x14ac:dyDescent="0.2">
      <c r="A23" s="74" t="s">
        <v>1321</v>
      </c>
      <c r="B23" s="75"/>
      <c r="C23" s="75"/>
      <c r="D23" s="75"/>
      <c r="E23" s="76"/>
    </row>
    <row r="24" spans="1:5" ht="17" customHeight="1" x14ac:dyDescent="0.2">
      <c r="A24" s="74" t="s">
        <v>1322</v>
      </c>
      <c r="B24" s="75"/>
      <c r="C24" s="75"/>
      <c r="D24" s="75"/>
      <c r="E24" s="76"/>
    </row>
    <row r="25" spans="1:5" ht="17" customHeight="1" x14ac:dyDescent="0.2">
      <c r="A25" s="74" t="s">
        <v>1323</v>
      </c>
      <c r="B25" s="75"/>
      <c r="C25" s="75"/>
      <c r="D25" s="75"/>
      <c r="E25" s="76"/>
    </row>
    <row r="26" spans="1:5" ht="17" customHeight="1" x14ac:dyDescent="0.2">
      <c r="A26" s="74" t="s">
        <v>1324</v>
      </c>
      <c r="B26" s="75"/>
      <c r="C26" s="75"/>
      <c r="D26" s="75"/>
      <c r="E26" s="76"/>
    </row>
    <row r="27" spans="1:5" ht="17" customHeight="1" x14ac:dyDescent="0.2">
      <c r="A27" s="74" t="s">
        <v>1325</v>
      </c>
      <c r="B27" s="75"/>
      <c r="C27" s="75"/>
      <c r="D27" s="75"/>
      <c r="E27" s="76"/>
    </row>
    <row r="28" spans="1:5" ht="17" customHeight="1" x14ac:dyDescent="0.2">
      <c r="A28" s="74" t="s">
        <v>1326</v>
      </c>
      <c r="B28" s="75"/>
      <c r="C28" s="75"/>
      <c r="D28" s="75"/>
      <c r="E28" s="76"/>
    </row>
    <row r="29" spans="1:5" ht="17" customHeight="1" x14ac:dyDescent="0.2">
      <c r="A29" s="74" t="s">
        <v>1327</v>
      </c>
      <c r="B29" s="75"/>
      <c r="C29" s="75"/>
      <c r="D29" s="75"/>
      <c r="E29" s="76"/>
    </row>
    <row r="30" spans="1:5" ht="17" customHeight="1" x14ac:dyDescent="0.2">
      <c r="A30" s="74" t="s">
        <v>1328</v>
      </c>
      <c r="B30" s="75"/>
      <c r="C30" s="75"/>
      <c r="D30" s="75"/>
      <c r="E30" s="76"/>
    </row>
    <row r="31" spans="1:5" ht="17" customHeight="1" x14ac:dyDescent="0.2">
      <c r="A31" s="74" t="s">
        <v>21</v>
      </c>
      <c r="B31" s="75"/>
      <c r="C31" s="75"/>
      <c r="D31" s="75"/>
      <c r="E31" s="76"/>
    </row>
    <row r="32" spans="1:5" ht="17" customHeight="1" x14ac:dyDescent="0.2">
      <c r="A32" s="86" t="s">
        <v>1329</v>
      </c>
      <c r="B32" s="75"/>
      <c r="C32" s="75"/>
      <c r="D32" s="75"/>
      <c r="E32" s="76"/>
    </row>
    <row r="33" spans="1:5" ht="17" customHeight="1" x14ac:dyDescent="0.2">
      <c r="A33" s="86" t="s">
        <v>1330</v>
      </c>
      <c r="B33" s="75"/>
      <c r="C33" s="75"/>
      <c r="D33" s="75"/>
      <c r="E33" s="76"/>
    </row>
    <row r="34" spans="1:5" ht="17" customHeight="1" x14ac:dyDescent="0.2">
      <c r="A34" s="74" t="s">
        <v>1331</v>
      </c>
      <c r="B34" s="75"/>
      <c r="C34" s="75"/>
      <c r="D34" s="75"/>
      <c r="E34" s="76"/>
    </row>
    <row r="35" spans="1:5" ht="17" customHeight="1" x14ac:dyDescent="0.2">
      <c r="A35" s="74" t="s">
        <v>1332</v>
      </c>
      <c r="B35" s="75"/>
      <c r="C35" s="75"/>
      <c r="D35" s="75"/>
      <c r="E35" s="76"/>
    </row>
    <row r="36" spans="1:5" ht="17" customHeight="1" x14ac:dyDescent="0.2">
      <c r="A36" s="74" t="s">
        <v>1333</v>
      </c>
      <c r="B36" s="75"/>
      <c r="C36" s="75"/>
      <c r="D36" s="75"/>
      <c r="E36" s="76"/>
    </row>
    <row r="37" spans="1:5" ht="17" customHeight="1" x14ac:dyDescent="0.2">
      <c r="A37" s="86" t="s">
        <v>1334</v>
      </c>
      <c r="B37" s="75"/>
      <c r="C37" s="75"/>
      <c r="D37" s="75"/>
      <c r="E37" s="76"/>
    </row>
    <row r="38" spans="1:5" ht="17" customHeight="1" x14ac:dyDescent="0.2">
      <c r="A38" s="86" t="s">
        <v>1335</v>
      </c>
      <c r="B38" s="75"/>
      <c r="C38" s="75"/>
      <c r="D38" s="75"/>
      <c r="E38" s="76"/>
    </row>
    <row r="39" spans="1:5" ht="17" customHeight="1" x14ac:dyDescent="0.2">
      <c r="A39" s="86" t="s">
        <v>1336</v>
      </c>
      <c r="B39" s="75"/>
      <c r="C39" s="75"/>
      <c r="D39" s="75"/>
      <c r="E39" s="76"/>
    </row>
    <row r="40" spans="1:5" ht="17" customHeight="1" x14ac:dyDescent="0.2">
      <c r="A40" s="86" t="s">
        <v>1337</v>
      </c>
      <c r="B40" s="75"/>
      <c r="C40" s="75"/>
      <c r="D40" s="75"/>
      <c r="E40" s="76"/>
    </row>
    <row r="41" spans="1:5" ht="17" customHeight="1" x14ac:dyDescent="0.2">
      <c r="A41" s="86" t="s">
        <v>27</v>
      </c>
      <c r="B41" s="75"/>
      <c r="C41" s="75"/>
      <c r="D41" s="75"/>
      <c r="E41" s="76"/>
    </row>
    <row r="42" spans="1:5" ht="17" customHeight="1" x14ac:dyDescent="0.2">
      <c r="A42" s="86" t="s">
        <v>1338</v>
      </c>
      <c r="B42" s="75"/>
      <c r="C42" s="75"/>
      <c r="D42" s="75"/>
      <c r="E42" s="76"/>
    </row>
    <row r="43" spans="1:5" ht="17" customHeight="1" x14ac:dyDescent="0.2">
      <c r="A43" s="86" t="s">
        <v>1339</v>
      </c>
      <c r="B43" s="75"/>
      <c r="C43" s="75"/>
      <c r="D43" s="75"/>
      <c r="E43" s="76"/>
    </row>
    <row r="44" spans="1:5" ht="17" customHeight="1" x14ac:dyDescent="0.2">
      <c r="A44" s="86" t="s">
        <v>1340</v>
      </c>
      <c r="B44" s="75"/>
      <c r="C44" s="75"/>
      <c r="D44" s="75"/>
      <c r="E44" s="76"/>
    </row>
    <row r="45" spans="1:5" ht="17" customHeight="1" x14ac:dyDescent="0.2">
      <c r="A45" s="86" t="s">
        <v>1341</v>
      </c>
      <c r="B45" s="75"/>
      <c r="C45" s="75"/>
      <c r="D45" s="75"/>
      <c r="E45" s="76"/>
    </row>
    <row r="46" spans="1:5" ht="17" customHeight="1" x14ac:dyDescent="0.2">
      <c r="A46" s="74" t="s">
        <v>1342</v>
      </c>
      <c r="B46" s="75"/>
      <c r="C46" s="75"/>
      <c r="D46" s="75"/>
      <c r="E46" s="76"/>
    </row>
    <row r="47" spans="1:5" ht="17" customHeight="1" x14ac:dyDescent="0.2">
      <c r="A47" s="74" t="s">
        <v>1343</v>
      </c>
      <c r="B47" s="75"/>
      <c r="C47" s="75"/>
      <c r="D47" s="75"/>
      <c r="E47" s="76"/>
    </row>
    <row r="48" spans="1:5" ht="17" customHeight="1" x14ac:dyDescent="0.2">
      <c r="A48" s="86" t="s">
        <v>1344</v>
      </c>
      <c r="B48" s="75"/>
      <c r="C48" s="75"/>
      <c r="D48" s="75"/>
      <c r="E48" s="76"/>
    </row>
    <row r="49" spans="1:5" ht="17" customHeight="1" x14ac:dyDescent="0.2">
      <c r="A49" s="86" t="s">
        <v>1345</v>
      </c>
      <c r="B49" s="75"/>
      <c r="C49" s="75"/>
      <c r="D49" s="75"/>
      <c r="E49" s="76"/>
    </row>
    <row r="50" spans="1:5" ht="17" customHeight="1" x14ac:dyDescent="0.2">
      <c r="A50" s="86" t="s">
        <v>1346</v>
      </c>
      <c r="B50" s="75"/>
      <c r="C50" s="75"/>
      <c r="D50" s="75"/>
      <c r="E50" s="76"/>
    </row>
    <row r="51" spans="1:5" ht="17" customHeight="1" x14ac:dyDescent="0.2">
      <c r="A51" s="86" t="s">
        <v>1347</v>
      </c>
      <c r="B51" s="75"/>
      <c r="C51" s="75"/>
      <c r="D51" s="75"/>
      <c r="E51" s="76"/>
    </row>
    <row r="52" spans="1:5" ht="17" customHeight="1" x14ac:dyDescent="0.2">
      <c r="A52" s="86" t="s">
        <v>1348</v>
      </c>
      <c r="B52" s="75"/>
      <c r="C52" s="75"/>
      <c r="D52" s="75"/>
      <c r="E52" s="76"/>
    </row>
    <row r="53" spans="1:5" ht="17" customHeight="1" x14ac:dyDescent="0.2">
      <c r="A53" s="74" t="s">
        <v>1349</v>
      </c>
      <c r="B53" s="75"/>
      <c r="C53" s="75"/>
      <c r="D53" s="75"/>
      <c r="E53" s="76"/>
    </row>
    <row r="54" spans="1:5" ht="17" customHeight="1" thickBot="1" x14ac:dyDescent="0.25">
      <c r="A54" s="77" t="s">
        <v>1350</v>
      </c>
      <c r="B54" s="78"/>
      <c r="C54" s="78"/>
      <c r="D54" s="78"/>
      <c r="E54" s="79"/>
    </row>
    <row r="55" spans="1:5" ht="79.25" customHeight="1" thickBot="1" x14ac:dyDescent="0.25">
      <c r="A55" s="611" t="s">
        <v>2028</v>
      </c>
      <c r="B55" s="980"/>
      <c r="C55" s="981"/>
      <c r="D55" s="981"/>
      <c r="E55" s="982"/>
    </row>
  </sheetData>
  <mergeCells count="3">
    <mergeCell ref="A1:E1"/>
    <mergeCell ref="A2:E2"/>
    <mergeCell ref="B55:E55"/>
  </mergeCells>
  <pageMargins left="0.7" right="0.7" top="0.75" bottom="0.75" header="0.3" footer="0.3"/>
  <pageSetup scale="73" orientation="portrait" r:id="rId1"/>
  <headerFooter>
    <oddHeader>&amp;C&amp;"-,Bold"&amp;A</oddHeader>
    <oddFooter>&amp;LPage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tabColor theme="3" tint="0.79998168889431442"/>
  </sheetPr>
  <dimension ref="A1:E29"/>
  <sheetViews>
    <sheetView zoomScale="90" zoomScaleNormal="90" zoomScaleSheetLayoutView="55" zoomScalePageLayoutView="40" workbookViewId="0">
      <selection sqref="A1:E1"/>
    </sheetView>
  </sheetViews>
  <sheetFormatPr baseColWidth="10" defaultColWidth="9.1640625" defaultRowHeight="14" x14ac:dyDescent="0.2"/>
  <cols>
    <col min="1" max="1" width="76.6640625" style="609" customWidth="1"/>
    <col min="2" max="4" width="4.6640625" style="609" customWidth="1"/>
    <col min="5" max="5" width="23.6640625" style="609" customWidth="1"/>
    <col min="6" max="16384" width="9.1640625" style="609"/>
  </cols>
  <sheetData>
    <row r="1" spans="1:5" ht="22.25" customHeight="1" x14ac:dyDescent="0.2">
      <c r="A1" s="974" t="s">
        <v>2050</v>
      </c>
      <c r="B1" s="975"/>
      <c r="C1" s="975"/>
      <c r="D1" s="975"/>
      <c r="E1" s="976"/>
    </row>
    <row r="2" spans="1:5" ht="3" customHeight="1" x14ac:dyDescent="0.2">
      <c r="A2" s="977"/>
      <c r="B2" s="978"/>
      <c r="C2" s="978"/>
      <c r="D2" s="978"/>
      <c r="E2" s="979"/>
    </row>
    <row r="3" spans="1:5" ht="17.25" customHeight="1" x14ac:dyDescent="0.2">
      <c r="A3" s="70"/>
      <c r="B3" s="83" t="s">
        <v>1300</v>
      </c>
      <c r="C3" s="83" t="s">
        <v>1301</v>
      </c>
      <c r="D3" s="83" t="s">
        <v>963</v>
      </c>
      <c r="E3" s="84" t="s">
        <v>1302</v>
      </c>
    </row>
    <row r="4" spans="1:5" ht="3" customHeight="1" x14ac:dyDescent="0.2">
      <c r="A4" s="71"/>
      <c r="B4" s="72"/>
      <c r="C4" s="72"/>
      <c r="D4" s="72"/>
      <c r="E4" s="73"/>
    </row>
    <row r="5" spans="1:5" ht="15.75" customHeight="1" x14ac:dyDescent="0.2">
      <c r="A5" s="74" t="s">
        <v>1351</v>
      </c>
      <c r="B5" s="75"/>
      <c r="C5" s="75"/>
      <c r="D5" s="75"/>
      <c r="E5" s="76"/>
    </row>
    <row r="6" spans="1:5" ht="32.25" customHeight="1" x14ac:dyDescent="0.2">
      <c r="A6" s="74" t="s">
        <v>1352</v>
      </c>
      <c r="B6" s="75"/>
      <c r="C6" s="75"/>
      <c r="D6" s="75"/>
      <c r="E6" s="76"/>
    </row>
    <row r="7" spans="1:5" ht="15.75" customHeight="1" x14ac:dyDescent="0.2">
      <c r="A7" s="74" t="s">
        <v>1353</v>
      </c>
      <c r="B7" s="75"/>
      <c r="C7" s="75"/>
      <c r="D7" s="75"/>
      <c r="E7" s="76"/>
    </row>
    <row r="8" spans="1:5" ht="30" customHeight="1" x14ac:dyDescent="0.2">
      <c r="A8" s="74" t="s">
        <v>1354</v>
      </c>
      <c r="B8" s="75"/>
      <c r="C8" s="75"/>
      <c r="D8" s="75"/>
      <c r="E8" s="76"/>
    </row>
    <row r="9" spans="1:5" ht="15.75" customHeight="1" x14ac:dyDescent="0.2">
      <c r="A9" s="74" t="s">
        <v>1355</v>
      </c>
      <c r="B9" s="75"/>
      <c r="C9" s="75"/>
      <c r="D9" s="75"/>
      <c r="E9" s="76"/>
    </row>
    <row r="10" spans="1:5" ht="34" x14ac:dyDescent="0.2">
      <c r="A10" s="74" t="s">
        <v>1356</v>
      </c>
      <c r="B10" s="75"/>
      <c r="C10" s="75"/>
      <c r="D10" s="75"/>
      <c r="E10" s="76"/>
    </row>
    <row r="11" spans="1:5" ht="15.75" customHeight="1" x14ac:dyDescent="0.2">
      <c r="A11" s="74" t="s">
        <v>1357</v>
      </c>
      <c r="B11" s="75"/>
      <c r="C11" s="75"/>
      <c r="D11" s="75"/>
      <c r="E11" s="76"/>
    </row>
    <row r="12" spans="1:5" ht="15.75" customHeight="1" x14ac:dyDescent="0.2">
      <c r="A12" s="74" t="s">
        <v>1358</v>
      </c>
      <c r="B12" s="75"/>
      <c r="C12" s="75"/>
      <c r="D12" s="75"/>
      <c r="E12" s="76"/>
    </row>
    <row r="13" spans="1:5" ht="15.75" customHeight="1" x14ac:dyDescent="0.2">
      <c r="A13" s="74" t="s">
        <v>1359</v>
      </c>
      <c r="B13" s="75"/>
      <c r="C13" s="75"/>
      <c r="D13" s="75"/>
      <c r="E13" s="76"/>
    </row>
    <row r="14" spans="1:5" ht="15.75" customHeight="1" x14ac:dyDescent="0.2">
      <c r="A14" s="74" t="s">
        <v>1360</v>
      </c>
      <c r="B14" s="75"/>
      <c r="C14" s="75"/>
      <c r="D14" s="75"/>
      <c r="E14" s="76"/>
    </row>
    <row r="15" spans="1:5" ht="15.75" customHeight="1" x14ac:dyDescent="0.2">
      <c r="A15" s="74" t="s">
        <v>1361</v>
      </c>
      <c r="B15" s="75"/>
      <c r="C15" s="75"/>
      <c r="D15" s="75"/>
      <c r="E15" s="76"/>
    </row>
    <row r="16" spans="1:5" ht="30" customHeight="1" x14ac:dyDescent="0.2">
      <c r="A16" s="74" t="s">
        <v>1362</v>
      </c>
      <c r="B16" s="75"/>
      <c r="C16" s="75"/>
      <c r="D16" s="75"/>
      <c r="E16" s="76"/>
    </row>
    <row r="17" spans="1:5" ht="30" customHeight="1" x14ac:dyDescent="0.2">
      <c r="A17" s="74" t="s">
        <v>1363</v>
      </c>
      <c r="B17" s="75"/>
      <c r="C17" s="75"/>
      <c r="D17" s="75"/>
      <c r="E17" s="76"/>
    </row>
    <row r="18" spans="1:5" ht="33" customHeight="1" x14ac:dyDescent="0.2">
      <c r="A18" s="74" t="s">
        <v>1364</v>
      </c>
      <c r="B18" s="75"/>
      <c r="C18" s="75"/>
      <c r="D18" s="75"/>
      <c r="E18" s="76"/>
    </row>
    <row r="19" spans="1:5" ht="34" x14ac:dyDescent="0.2">
      <c r="A19" s="74" t="s">
        <v>1365</v>
      </c>
      <c r="B19" s="75"/>
      <c r="C19" s="75"/>
      <c r="D19" s="75"/>
      <c r="E19" s="76"/>
    </row>
    <row r="20" spans="1:5" ht="18" customHeight="1" x14ac:dyDescent="0.2">
      <c r="A20" s="74" t="s">
        <v>1366</v>
      </c>
      <c r="B20" s="75"/>
      <c r="C20" s="75"/>
      <c r="D20" s="75"/>
      <c r="E20" s="76"/>
    </row>
    <row r="21" spans="1:5" ht="18" customHeight="1" x14ac:dyDescent="0.2">
      <c r="A21" s="74" t="s">
        <v>1367</v>
      </c>
      <c r="B21" s="75"/>
      <c r="C21" s="75"/>
      <c r="D21" s="75"/>
      <c r="E21" s="76"/>
    </row>
    <row r="22" spans="1:5" ht="34" x14ac:dyDescent="0.2">
      <c r="A22" s="74" t="s">
        <v>1368</v>
      </c>
      <c r="B22" s="75"/>
      <c r="C22" s="75"/>
      <c r="D22" s="75"/>
      <c r="E22" s="76"/>
    </row>
    <row r="23" spans="1:5" ht="18" customHeight="1" x14ac:dyDescent="0.2">
      <c r="A23" s="74" t="s">
        <v>1369</v>
      </c>
      <c r="B23" s="75"/>
      <c r="C23" s="75"/>
      <c r="D23" s="75"/>
      <c r="E23" s="76"/>
    </row>
    <row r="24" spans="1:5" ht="35.25" customHeight="1" x14ac:dyDescent="0.2">
      <c r="A24" s="74" t="s">
        <v>1370</v>
      </c>
      <c r="B24" s="75"/>
      <c r="C24" s="75"/>
      <c r="D24" s="75"/>
      <c r="E24" s="76"/>
    </row>
    <row r="25" spans="1:5" ht="34" x14ac:dyDescent="0.2">
      <c r="A25" s="74" t="s">
        <v>1365</v>
      </c>
      <c r="B25" s="75"/>
      <c r="C25" s="75"/>
      <c r="D25" s="75"/>
      <c r="E25" s="76"/>
    </row>
    <row r="26" spans="1:5" ht="18" customHeight="1" x14ac:dyDescent="0.2">
      <c r="A26" s="74" t="s">
        <v>1371</v>
      </c>
      <c r="B26" s="75"/>
      <c r="C26" s="75"/>
      <c r="D26" s="75"/>
      <c r="E26" s="76"/>
    </row>
    <row r="27" spans="1:5" ht="34" x14ac:dyDescent="0.2">
      <c r="A27" s="74" t="s">
        <v>1372</v>
      </c>
      <c r="B27" s="75"/>
      <c r="C27" s="75"/>
      <c r="D27" s="75"/>
      <c r="E27" s="76"/>
    </row>
    <row r="28" spans="1:5" ht="35" thickBot="1" x14ac:dyDescent="0.25">
      <c r="A28" s="77" t="s">
        <v>1373</v>
      </c>
      <c r="B28" s="78"/>
      <c r="C28" s="78"/>
      <c r="D28" s="78"/>
      <c r="E28" s="79"/>
    </row>
    <row r="29" spans="1:5" ht="122.75" customHeight="1" thickBot="1" x14ac:dyDescent="0.25">
      <c r="A29" s="611" t="s">
        <v>2029</v>
      </c>
      <c r="B29" s="980"/>
      <c r="C29" s="981"/>
      <c r="D29" s="981"/>
      <c r="E29" s="982"/>
    </row>
  </sheetData>
  <mergeCells count="3">
    <mergeCell ref="A1:E1"/>
    <mergeCell ref="A2:E2"/>
    <mergeCell ref="B29:E29"/>
  </mergeCells>
  <pageMargins left="0.7" right="0.7" top="0.75" bottom="0.75" header="0.3" footer="0.3"/>
  <pageSetup scale="73" orientation="portrait" r:id="rId1"/>
  <headerFooter>
    <oddHeader>&amp;C&amp;"-,Bold"&amp;A</oddHeader>
    <oddFooter>&amp;LPage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tabColor theme="3" tint="0.79998168889431442"/>
  </sheetPr>
  <dimension ref="A1:E32"/>
  <sheetViews>
    <sheetView zoomScale="90" zoomScaleNormal="90" workbookViewId="0">
      <selection activeCell="A22" sqref="A22"/>
    </sheetView>
  </sheetViews>
  <sheetFormatPr baseColWidth="10" defaultColWidth="9.1640625" defaultRowHeight="15" x14ac:dyDescent="0.2"/>
  <cols>
    <col min="1" max="1" width="76.6640625" style="612" customWidth="1"/>
    <col min="2" max="4" width="4.6640625" style="612" customWidth="1"/>
    <col min="5" max="5" width="23.6640625" style="613" customWidth="1"/>
    <col min="6" max="16384" width="9.1640625" style="612"/>
  </cols>
  <sheetData>
    <row r="1" spans="1:5" ht="22.25" customHeight="1" x14ac:dyDescent="0.2">
      <c r="A1" s="974" t="s">
        <v>2051</v>
      </c>
      <c r="B1" s="975"/>
      <c r="C1" s="975"/>
      <c r="D1" s="975"/>
      <c r="E1" s="976"/>
    </row>
    <row r="2" spans="1:5" s="609" customFormat="1" ht="3" customHeight="1" x14ac:dyDescent="0.2">
      <c r="A2" s="71"/>
      <c r="B2" s="72"/>
      <c r="C2" s="72"/>
      <c r="D2" s="72"/>
      <c r="E2" s="73"/>
    </row>
    <row r="3" spans="1:5" s="609" customFormat="1" ht="17.25" customHeight="1" x14ac:dyDescent="0.2">
      <c r="A3" s="70"/>
      <c r="B3" s="83" t="s">
        <v>1300</v>
      </c>
      <c r="C3" s="83" t="s">
        <v>1301</v>
      </c>
      <c r="D3" s="83" t="s">
        <v>963</v>
      </c>
      <c r="E3" s="84" t="s">
        <v>1302</v>
      </c>
    </row>
    <row r="4" spans="1:5" s="609" customFormat="1" ht="3" customHeight="1" x14ac:dyDescent="0.2">
      <c r="A4" s="71"/>
      <c r="B4" s="72"/>
      <c r="C4" s="72"/>
      <c r="D4" s="72"/>
      <c r="E4" s="73"/>
    </row>
    <row r="5" spans="1:5" ht="18" customHeight="1" x14ac:dyDescent="0.2">
      <c r="A5" s="80" t="s">
        <v>1374</v>
      </c>
      <c r="B5" s="81"/>
      <c r="C5" s="81"/>
      <c r="D5" s="81"/>
      <c r="E5" s="76"/>
    </row>
    <row r="6" spans="1:5" ht="18" customHeight="1" x14ac:dyDescent="0.2">
      <c r="A6" s="86" t="s">
        <v>1375</v>
      </c>
      <c r="B6" s="81"/>
      <c r="C6" s="81"/>
      <c r="D6" s="81"/>
      <c r="E6" s="76"/>
    </row>
    <row r="7" spans="1:5" ht="18" customHeight="1" x14ac:dyDescent="0.2">
      <c r="A7" s="86" t="s">
        <v>1376</v>
      </c>
      <c r="B7" s="81"/>
      <c r="C7" s="81"/>
      <c r="D7" s="81"/>
      <c r="E7" s="76"/>
    </row>
    <row r="8" spans="1:5" ht="18" customHeight="1" x14ac:dyDescent="0.2">
      <c r="A8" s="86" t="s">
        <v>1377</v>
      </c>
      <c r="B8" s="81"/>
      <c r="C8" s="81"/>
      <c r="D8" s="81"/>
      <c r="E8" s="76"/>
    </row>
    <row r="9" spans="1:5" ht="18" customHeight="1" x14ac:dyDescent="0.2">
      <c r="A9" s="86" t="s">
        <v>1378</v>
      </c>
      <c r="B9" s="81"/>
      <c r="C9" s="81"/>
      <c r="D9" s="81"/>
      <c r="E9" s="76"/>
    </row>
    <row r="10" spans="1:5" ht="18" customHeight="1" x14ac:dyDescent="0.2">
      <c r="A10" s="86" t="s">
        <v>1379</v>
      </c>
      <c r="B10" s="81"/>
      <c r="C10" s="81"/>
      <c r="D10" s="81"/>
      <c r="E10" s="76"/>
    </row>
    <row r="11" spans="1:5" ht="18" customHeight="1" x14ac:dyDescent="0.2">
      <c r="A11" s="88" t="s">
        <v>1380</v>
      </c>
      <c r="B11" s="89"/>
      <c r="C11" s="89"/>
      <c r="D11" s="89"/>
      <c r="E11" s="90"/>
    </row>
    <row r="12" spans="1:5" ht="18" customHeight="1" x14ac:dyDescent="0.2">
      <c r="A12" s="86" t="s">
        <v>1375</v>
      </c>
      <c r="B12" s="81"/>
      <c r="C12" s="81"/>
      <c r="D12" s="81"/>
      <c r="E12" s="76"/>
    </row>
    <row r="13" spans="1:5" ht="18" customHeight="1" x14ac:dyDescent="0.2">
      <c r="A13" s="86" t="s">
        <v>1376</v>
      </c>
      <c r="B13" s="81"/>
      <c r="C13" s="81"/>
      <c r="D13" s="81"/>
      <c r="E13" s="76"/>
    </row>
    <row r="14" spans="1:5" ht="18" customHeight="1" x14ac:dyDescent="0.2">
      <c r="A14" s="86" t="s">
        <v>1377</v>
      </c>
      <c r="B14" s="81"/>
      <c r="C14" s="81"/>
      <c r="D14" s="81"/>
      <c r="E14" s="76"/>
    </row>
    <row r="15" spans="1:5" ht="18" customHeight="1" x14ac:dyDescent="0.2">
      <c r="A15" s="86" t="s">
        <v>1378</v>
      </c>
      <c r="B15" s="81"/>
      <c r="C15" s="81"/>
      <c r="D15" s="81"/>
      <c r="E15" s="76"/>
    </row>
    <row r="16" spans="1:5" ht="18" customHeight="1" x14ac:dyDescent="0.2">
      <c r="A16" s="86" t="s">
        <v>1379</v>
      </c>
      <c r="B16" s="81"/>
      <c r="C16" s="81"/>
      <c r="D16" s="81"/>
      <c r="E16" s="76"/>
    </row>
    <row r="17" spans="1:5" ht="18" customHeight="1" x14ac:dyDescent="0.2">
      <c r="A17" s="80" t="s">
        <v>1381</v>
      </c>
      <c r="B17" s="81"/>
      <c r="C17" s="81"/>
      <c r="D17" s="81"/>
      <c r="E17" s="76"/>
    </row>
    <row r="18" spans="1:5" ht="18" customHeight="1" x14ac:dyDescent="0.2">
      <c r="A18" s="86" t="s">
        <v>1382</v>
      </c>
      <c r="B18" s="81"/>
      <c r="C18" s="81"/>
      <c r="D18" s="81"/>
      <c r="E18" s="76"/>
    </row>
    <row r="19" spans="1:5" ht="18" customHeight="1" x14ac:dyDescent="0.2">
      <c r="A19" s="86" t="s">
        <v>1383</v>
      </c>
      <c r="B19" s="81"/>
      <c r="C19" s="81"/>
      <c r="D19" s="81"/>
      <c r="E19" s="76"/>
    </row>
    <row r="20" spans="1:5" ht="18" customHeight="1" x14ac:dyDescent="0.2">
      <c r="A20" s="86" t="s">
        <v>1384</v>
      </c>
      <c r="B20" s="81"/>
      <c r="C20" s="81"/>
      <c r="D20" s="81"/>
      <c r="E20" s="76"/>
    </row>
    <row r="21" spans="1:5" ht="18" customHeight="1" x14ac:dyDescent="0.2">
      <c r="A21" s="87" t="s">
        <v>1385</v>
      </c>
      <c r="B21" s="81"/>
      <c r="C21" s="81"/>
      <c r="D21" s="81"/>
      <c r="E21" s="76"/>
    </row>
    <row r="22" spans="1:5" ht="18" customHeight="1" x14ac:dyDescent="0.2">
      <c r="A22" s="87" t="s">
        <v>1386</v>
      </c>
      <c r="B22" s="81"/>
      <c r="C22" s="81"/>
      <c r="D22" s="81"/>
      <c r="E22" s="76"/>
    </row>
    <row r="23" spans="1:5" ht="18" customHeight="1" x14ac:dyDescent="0.2">
      <c r="A23" s="87" t="s">
        <v>1387</v>
      </c>
      <c r="B23" s="81"/>
      <c r="C23" s="81"/>
      <c r="D23" s="81"/>
      <c r="E23" s="76"/>
    </row>
    <row r="24" spans="1:5" ht="18" customHeight="1" x14ac:dyDescent="0.2">
      <c r="A24" s="80" t="s">
        <v>1388</v>
      </c>
      <c r="B24" s="81"/>
      <c r="C24" s="81"/>
      <c r="D24" s="81"/>
      <c r="E24" s="76"/>
    </row>
    <row r="25" spans="1:5" ht="18" customHeight="1" x14ac:dyDescent="0.2">
      <c r="A25" s="86" t="s">
        <v>1389</v>
      </c>
      <c r="B25" s="81"/>
      <c r="C25" s="81"/>
      <c r="D25" s="81"/>
      <c r="E25" s="76"/>
    </row>
    <row r="26" spans="1:5" ht="18" customHeight="1" x14ac:dyDescent="0.2">
      <c r="A26" s="86" t="s">
        <v>1390</v>
      </c>
      <c r="B26" s="81"/>
      <c r="C26" s="81"/>
      <c r="D26" s="81"/>
      <c r="E26" s="76"/>
    </row>
    <row r="27" spans="1:5" ht="18" customHeight="1" x14ac:dyDescent="0.2">
      <c r="A27" s="86" t="s">
        <v>1391</v>
      </c>
      <c r="B27" s="81"/>
      <c r="C27" s="81"/>
      <c r="D27" s="81"/>
      <c r="E27" s="76"/>
    </row>
    <row r="28" spans="1:5" ht="18" customHeight="1" x14ac:dyDescent="0.2">
      <c r="A28" s="86" t="s">
        <v>1392</v>
      </c>
      <c r="B28" s="81"/>
      <c r="C28" s="81"/>
      <c r="D28" s="81"/>
      <c r="E28" s="76"/>
    </row>
    <row r="29" spans="1:5" ht="18" customHeight="1" x14ac:dyDescent="0.2">
      <c r="A29" s="80" t="s">
        <v>1393</v>
      </c>
      <c r="B29" s="81"/>
      <c r="C29" s="81"/>
      <c r="D29" s="81"/>
      <c r="E29" s="76"/>
    </row>
    <row r="30" spans="1:5" ht="18" customHeight="1" x14ac:dyDescent="0.2">
      <c r="A30" s="86" t="s">
        <v>1394</v>
      </c>
      <c r="B30" s="81"/>
      <c r="C30" s="81"/>
      <c r="D30" s="81"/>
      <c r="E30" s="76"/>
    </row>
    <row r="31" spans="1:5" ht="18" customHeight="1" x14ac:dyDescent="0.2">
      <c r="A31" s="86" t="s">
        <v>21</v>
      </c>
      <c r="B31" s="81"/>
      <c r="C31" s="81"/>
      <c r="D31" s="81"/>
      <c r="E31" s="76"/>
    </row>
    <row r="32" spans="1:5" ht="18" customHeight="1" thickBot="1" x14ac:dyDescent="0.25">
      <c r="A32" s="91" t="s">
        <v>1395</v>
      </c>
      <c r="B32" s="82"/>
      <c r="C32" s="82"/>
      <c r="D32" s="82"/>
      <c r="E32" s="79"/>
    </row>
  </sheetData>
  <mergeCells count="1">
    <mergeCell ref="A1:E1"/>
  </mergeCells>
  <pageMargins left="0.7" right="0.7" top="0.75" bottom="0.75" header="0.3" footer="0.3"/>
  <pageSetup scale="73" orientation="portrait" r:id="rId1"/>
  <headerFooter>
    <oddHeader>&amp;C&amp;"-,Bold"&amp;A</oddHeader>
    <oddFooter>&amp;LPage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tabColor theme="3" tint="0.79998168889431442"/>
  </sheetPr>
  <dimension ref="A1:E28"/>
  <sheetViews>
    <sheetView zoomScale="90" zoomScaleNormal="90" zoomScaleSheetLayoutView="55" zoomScalePageLayoutView="55" workbookViewId="0">
      <selection activeCell="F1" sqref="F1"/>
    </sheetView>
  </sheetViews>
  <sheetFormatPr baseColWidth="10" defaultColWidth="9.1640625" defaultRowHeight="14" x14ac:dyDescent="0.2"/>
  <cols>
    <col min="1" max="1" width="76.6640625" style="609" customWidth="1"/>
    <col min="2" max="4" width="4.6640625" style="614" customWidth="1"/>
    <col min="5" max="5" width="23.6640625" style="609" customWidth="1"/>
    <col min="6" max="16384" width="9.1640625" style="609"/>
  </cols>
  <sheetData>
    <row r="1" spans="1:5" ht="22.25" customHeight="1" x14ac:dyDescent="0.2">
      <c r="A1" s="974" t="s">
        <v>2052</v>
      </c>
      <c r="B1" s="975"/>
      <c r="C1" s="975"/>
      <c r="D1" s="975"/>
      <c r="E1" s="976"/>
    </row>
    <row r="2" spans="1:5" ht="3" customHeight="1" x14ac:dyDescent="0.2">
      <c r="A2" s="977"/>
      <c r="B2" s="978"/>
      <c r="C2" s="978"/>
      <c r="D2" s="978"/>
      <c r="E2" s="979"/>
    </row>
    <row r="3" spans="1:5" ht="17.25" customHeight="1" x14ac:dyDescent="0.2">
      <c r="A3" s="70"/>
      <c r="B3" s="83" t="s">
        <v>1300</v>
      </c>
      <c r="C3" s="83" t="s">
        <v>1301</v>
      </c>
      <c r="D3" s="83" t="s">
        <v>963</v>
      </c>
      <c r="E3" s="84" t="s">
        <v>1302</v>
      </c>
    </row>
    <row r="4" spans="1:5" ht="3" customHeight="1" x14ac:dyDescent="0.2">
      <c r="A4" s="71"/>
      <c r="B4" s="85"/>
      <c r="C4" s="85"/>
      <c r="D4" s="85"/>
      <c r="E4" s="73"/>
    </row>
    <row r="5" spans="1:5" ht="18" customHeight="1" x14ac:dyDescent="0.2">
      <c r="A5" s="80" t="s">
        <v>1396</v>
      </c>
      <c r="B5" s="81"/>
      <c r="C5" s="81"/>
      <c r="D5" s="81"/>
      <c r="E5" s="76"/>
    </row>
    <row r="6" spans="1:5" ht="18" customHeight="1" x14ac:dyDescent="0.2">
      <c r="A6" s="86" t="s">
        <v>1397</v>
      </c>
      <c r="B6" s="81"/>
      <c r="C6" s="81"/>
      <c r="D6" s="81"/>
      <c r="E6" s="76"/>
    </row>
    <row r="7" spans="1:5" ht="18" customHeight="1" x14ac:dyDescent="0.2">
      <c r="A7" s="86" t="s">
        <v>1398</v>
      </c>
      <c r="B7" s="81"/>
      <c r="C7" s="81"/>
      <c r="D7" s="81"/>
      <c r="E7" s="76"/>
    </row>
    <row r="8" spans="1:5" ht="18" customHeight="1" x14ac:dyDescent="0.2">
      <c r="A8" s="86" t="s">
        <v>1399</v>
      </c>
      <c r="B8" s="81"/>
      <c r="C8" s="81"/>
      <c r="D8" s="81"/>
      <c r="E8" s="76"/>
    </row>
    <row r="9" spans="1:5" ht="18" customHeight="1" x14ac:dyDescent="0.2">
      <c r="A9" s="80" t="s">
        <v>1400</v>
      </c>
      <c r="B9" s="81"/>
      <c r="C9" s="81"/>
      <c r="D9" s="81"/>
      <c r="E9" s="76"/>
    </row>
    <row r="10" spans="1:5" ht="18" customHeight="1" x14ac:dyDescent="0.2">
      <c r="A10" s="86" t="s">
        <v>1401</v>
      </c>
      <c r="B10" s="81"/>
      <c r="C10" s="81"/>
      <c r="D10" s="81"/>
      <c r="E10" s="76"/>
    </row>
    <row r="11" spans="1:5" ht="18" customHeight="1" x14ac:dyDescent="0.2">
      <c r="A11" s="86" t="s">
        <v>1402</v>
      </c>
      <c r="B11" s="81"/>
      <c r="C11" s="81"/>
      <c r="D11" s="81"/>
      <c r="E11" s="76"/>
    </row>
    <row r="12" spans="1:5" ht="18" customHeight="1" x14ac:dyDescent="0.2">
      <c r="A12" s="86" t="s">
        <v>1403</v>
      </c>
      <c r="B12" s="81"/>
      <c r="C12" s="81"/>
      <c r="D12" s="81"/>
      <c r="E12" s="76"/>
    </row>
    <row r="13" spans="1:5" ht="18" customHeight="1" x14ac:dyDescent="0.2">
      <c r="A13" s="80" t="s">
        <v>1404</v>
      </c>
      <c r="B13" s="81"/>
      <c r="C13" s="81"/>
      <c r="D13" s="81"/>
      <c r="E13" s="76"/>
    </row>
    <row r="14" spans="1:5" ht="18" customHeight="1" x14ac:dyDescent="0.2">
      <c r="A14" s="86" t="s">
        <v>1405</v>
      </c>
      <c r="B14" s="81"/>
      <c r="C14" s="81"/>
      <c r="D14" s="81"/>
      <c r="E14" s="76"/>
    </row>
    <row r="15" spans="1:5" ht="18" customHeight="1" x14ac:dyDescent="0.2">
      <c r="A15" s="86" t="s">
        <v>1406</v>
      </c>
      <c r="B15" s="81"/>
      <c r="C15" s="81"/>
      <c r="D15" s="81"/>
      <c r="E15" s="76"/>
    </row>
    <row r="16" spans="1:5" ht="18" customHeight="1" x14ac:dyDescent="0.2">
      <c r="A16" s="86" t="s">
        <v>1407</v>
      </c>
      <c r="B16" s="81"/>
      <c r="C16" s="81"/>
      <c r="D16" s="81"/>
      <c r="E16" s="76"/>
    </row>
    <row r="17" spans="1:5" ht="18" customHeight="1" x14ac:dyDescent="0.2">
      <c r="A17" s="80" t="s">
        <v>1408</v>
      </c>
      <c r="B17" s="81"/>
      <c r="C17" s="81"/>
      <c r="D17" s="81"/>
      <c r="E17" s="76"/>
    </row>
    <row r="18" spans="1:5" ht="18" customHeight="1" x14ac:dyDescent="0.2">
      <c r="A18" s="86" t="s">
        <v>1409</v>
      </c>
      <c r="B18" s="81"/>
      <c r="C18" s="81"/>
      <c r="D18" s="81"/>
      <c r="E18" s="76"/>
    </row>
    <row r="19" spans="1:5" ht="18" customHeight="1" x14ac:dyDescent="0.2">
      <c r="A19" s="86" t="s">
        <v>1410</v>
      </c>
      <c r="B19" s="81"/>
      <c r="C19" s="81"/>
      <c r="D19" s="81"/>
      <c r="E19" s="76"/>
    </row>
    <row r="20" spans="1:5" ht="18" customHeight="1" x14ac:dyDescent="0.2">
      <c r="A20" s="86" t="s">
        <v>1411</v>
      </c>
      <c r="B20" s="81"/>
      <c r="C20" s="81"/>
      <c r="D20" s="81"/>
      <c r="E20" s="76"/>
    </row>
    <row r="21" spans="1:5" ht="18" customHeight="1" x14ac:dyDescent="0.2">
      <c r="A21" s="80" t="s">
        <v>1412</v>
      </c>
      <c r="B21" s="81"/>
      <c r="C21" s="81"/>
      <c r="D21" s="81"/>
      <c r="E21" s="76"/>
    </row>
    <row r="22" spans="1:5" ht="18" customHeight="1" x14ac:dyDescent="0.2">
      <c r="A22" s="86" t="s">
        <v>1413</v>
      </c>
      <c r="B22" s="81"/>
      <c r="C22" s="81"/>
      <c r="D22" s="81"/>
      <c r="E22" s="76"/>
    </row>
    <row r="23" spans="1:5" ht="18" customHeight="1" x14ac:dyDescent="0.2">
      <c r="A23" s="86" t="s">
        <v>1414</v>
      </c>
      <c r="B23" s="81"/>
      <c r="C23" s="81"/>
      <c r="D23" s="81"/>
      <c r="E23" s="76"/>
    </row>
    <row r="24" spans="1:5" ht="18" customHeight="1" x14ac:dyDescent="0.2">
      <c r="A24" s="86" t="s">
        <v>1415</v>
      </c>
      <c r="B24" s="81"/>
      <c r="C24" s="81"/>
      <c r="D24" s="81"/>
      <c r="E24" s="76"/>
    </row>
    <row r="25" spans="1:5" ht="18" customHeight="1" x14ac:dyDescent="0.2">
      <c r="A25" s="80" t="s">
        <v>1416</v>
      </c>
      <c r="B25" s="81"/>
      <c r="C25" s="81"/>
      <c r="D25" s="81"/>
      <c r="E25" s="76"/>
    </row>
    <row r="26" spans="1:5" ht="18" customHeight="1" x14ac:dyDescent="0.2">
      <c r="A26" s="86" t="s">
        <v>1417</v>
      </c>
      <c r="B26" s="81"/>
      <c r="C26" s="81"/>
      <c r="D26" s="81"/>
      <c r="E26" s="76"/>
    </row>
    <row r="27" spans="1:5" ht="18" customHeight="1" x14ac:dyDescent="0.2">
      <c r="A27" s="86" t="s">
        <v>1418</v>
      </c>
      <c r="B27" s="81"/>
      <c r="C27" s="81"/>
      <c r="D27" s="81"/>
      <c r="E27" s="76"/>
    </row>
    <row r="28" spans="1:5" ht="18" customHeight="1" thickBot="1" x14ac:dyDescent="0.25">
      <c r="A28" s="91" t="s">
        <v>1419</v>
      </c>
      <c r="B28" s="82"/>
      <c r="C28" s="82"/>
      <c r="D28" s="82"/>
      <c r="E28" s="79"/>
    </row>
  </sheetData>
  <mergeCells count="2">
    <mergeCell ref="A1:E1"/>
    <mergeCell ref="A2:E2"/>
  </mergeCells>
  <pageMargins left="0.7" right="0.7" top="0.75" bottom="0.75" header="0.3" footer="0.3"/>
  <pageSetup scale="73" orientation="portrait" r:id="rId1"/>
  <headerFooter>
    <oddHeader>&amp;C&amp;"-,Bold"&amp;A</oddHeader>
    <oddFooter>&amp;LPage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8">
    <tabColor theme="3" tint="0.79998168889431442"/>
  </sheetPr>
  <dimension ref="A1:E22"/>
  <sheetViews>
    <sheetView zoomScale="90" zoomScaleNormal="90" zoomScaleSheetLayoutView="40" zoomScalePageLayoutView="55" workbookViewId="0">
      <selection activeCell="A13" sqref="A13"/>
    </sheetView>
  </sheetViews>
  <sheetFormatPr baseColWidth="10" defaultColWidth="9.1640625" defaultRowHeight="14" x14ac:dyDescent="0.2"/>
  <cols>
    <col min="1" max="1" width="76.6640625" style="609" customWidth="1"/>
    <col min="2" max="4" width="4.6640625" style="609" customWidth="1"/>
    <col min="5" max="5" width="23.6640625" style="609" customWidth="1"/>
    <col min="6" max="16384" width="9.1640625" style="609"/>
  </cols>
  <sheetData>
    <row r="1" spans="1:5" ht="22.25" customHeight="1" x14ac:dyDescent="0.2">
      <c r="A1" s="974" t="s">
        <v>2053</v>
      </c>
      <c r="B1" s="975"/>
      <c r="C1" s="975"/>
      <c r="D1" s="975"/>
      <c r="E1" s="976"/>
    </row>
    <row r="2" spans="1:5" ht="3" customHeight="1" x14ac:dyDescent="0.2">
      <c r="A2" s="977"/>
      <c r="B2" s="978"/>
      <c r="C2" s="978"/>
      <c r="D2" s="978"/>
      <c r="E2" s="979"/>
    </row>
    <row r="3" spans="1:5" ht="17.25" customHeight="1" x14ac:dyDescent="0.2">
      <c r="A3" s="70"/>
      <c r="B3" s="83" t="s">
        <v>1300</v>
      </c>
      <c r="C3" s="83" t="s">
        <v>1301</v>
      </c>
      <c r="D3" s="83" t="s">
        <v>963</v>
      </c>
      <c r="E3" s="84" t="s">
        <v>1302</v>
      </c>
    </row>
    <row r="4" spans="1:5" ht="3" customHeight="1" x14ac:dyDescent="0.2">
      <c r="A4" s="71"/>
      <c r="B4" s="72"/>
      <c r="C4" s="72"/>
      <c r="D4" s="72"/>
      <c r="E4" s="73"/>
    </row>
    <row r="5" spans="1:5" ht="34" x14ac:dyDescent="0.2">
      <c r="A5" s="74" t="s">
        <v>1420</v>
      </c>
      <c r="B5" s="75"/>
      <c r="C5" s="75"/>
      <c r="D5" s="75"/>
      <c r="E5" s="76"/>
    </row>
    <row r="6" spans="1:5" ht="34" x14ac:dyDescent="0.2">
      <c r="A6" s="74" t="s">
        <v>1421</v>
      </c>
      <c r="B6" s="75"/>
      <c r="C6" s="75"/>
      <c r="D6" s="75"/>
      <c r="E6" s="76"/>
    </row>
    <row r="7" spans="1:5" ht="34" x14ac:dyDescent="0.2">
      <c r="A7" s="74" t="s">
        <v>1422</v>
      </c>
      <c r="B7" s="75"/>
      <c r="C7" s="75"/>
      <c r="D7" s="75"/>
      <c r="E7" s="76"/>
    </row>
    <row r="8" spans="1:5" ht="51" x14ac:dyDescent="0.2">
      <c r="A8" s="74" t="s">
        <v>1423</v>
      </c>
      <c r="B8" s="75"/>
      <c r="C8" s="75"/>
      <c r="D8" s="75"/>
      <c r="E8" s="76"/>
    </row>
    <row r="9" spans="1:5" ht="51" x14ac:dyDescent="0.2">
      <c r="A9" s="74" t="s">
        <v>1424</v>
      </c>
      <c r="B9" s="75"/>
      <c r="C9" s="75"/>
      <c r="D9" s="75"/>
      <c r="E9" s="76"/>
    </row>
    <row r="10" spans="1:5" ht="34" x14ac:dyDescent="0.2">
      <c r="A10" s="74" t="s">
        <v>1425</v>
      </c>
      <c r="B10" s="75"/>
      <c r="C10" s="75"/>
      <c r="D10" s="75"/>
      <c r="E10" s="76"/>
    </row>
    <row r="11" spans="1:5" ht="34" x14ac:dyDescent="0.2">
      <c r="A11" s="74" t="s">
        <v>1426</v>
      </c>
      <c r="B11" s="75"/>
      <c r="C11" s="75"/>
      <c r="D11" s="75"/>
      <c r="E11" s="76"/>
    </row>
    <row r="12" spans="1:5" ht="17" x14ac:dyDescent="0.2">
      <c r="A12" s="74" t="s">
        <v>1427</v>
      </c>
      <c r="B12" s="75"/>
      <c r="C12" s="75"/>
      <c r="D12" s="75"/>
      <c r="E12" s="76"/>
    </row>
    <row r="13" spans="1:5" ht="34" x14ac:dyDescent="0.2">
      <c r="A13" s="74" t="s">
        <v>1428</v>
      </c>
      <c r="B13" s="75"/>
      <c r="C13" s="75"/>
      <c r="D13" s="75"/>
      <c r="E13" s="76"/>
    </row>
    <row r="14" spans="1:5" ht="34" x14ac:dyDescent="0.2">
      <c r="A14" s="74" t="s">
        <v>1429</v>
      </c>
      <c r="B14" s="75"/>
      <c r="C14" s="75"/>
      <c r="D14" s="75"/>
      <c r="E14" s="76"/>
    </row>
    <row r="15" spans="1:5" ht="17" x14ac:dyDescent="0.2">
      <c r="A15" s="74" t="s">
        <v>1430</v>
      </c>
      <c r="B15" s="75"/>
      <c r="C15" s="75"/>
      <c r="D15" s="75"/>
      <c r="E15" s="76"/>
    </row>
    <row r="16" spans="1:5" ht="34" x14ac:dyDescent="0.2">
      <c r="A16" s="74" t="s">
        <v>1431</v>
      </c>
      <c r="B16" s="75"/>
      <c r="C16" s="75"/>
      <c r="D16" s="75"/>
      <c r="E16" s="76"/>
    </row>
    <row r="17" spans="1:5" ht="68" x14ac:dyDescent="0.2">
      <c r="A17" s="74" t="s">
        <v>1432</v>
      </c>
      <c r="B17" s="75"/>
      <c r="C17" s="75"/>
      <c r="D17" s="75"/>
      <c r="E17" s="76"/>
    </row>
    <row r="18" spans="1:5" ht="51" x14ac:dyDescent="0.2">
      <c r="A18" s="74" t="s">
        <v>1433</v>
      </c>
      <c r="B18" s="75"/>
      <c r="C18" s="75"/>
      <c r="D18" s="75"/>
      <c r="E18" s="76"/>
    </row>
    <row r="19" spans="1:5" ht="17" x14ac:dyDescent="0.2">
      <c r="A19" s="74" t="s">
        <v>1434</v>
      </c>
      <c r="B19" s="75"/>
      <c r="C19" s="75"/>
      <c r="D19" s="75"/>
      <c r="E19" s="76"/>
    </row>
    <row r="20" spans="1:5" ht="17" x14ac:dyDescent="0.2">
      <c r="A20" s="74" t="s">
        <v>1435</v>
      </c>
      <c r="B20" s="75"/>
      <c r="C20" s="75"/>
      <c r="D20" s="75"/>
      <c r="E20" s="76"/>
    </row>
    <row r="21" spans="1:5" ht="51" x14ac:dyDescent="0.2">
      <c r="A21" s="74" t="s">
        <v>1436</v>
      </c>
      <c r="B21" s="75"/>
      <c r="C21" s="75"/>
      <c r="D21" s="75"/>
      <c r="E21" s="76"/>
    </row>
    <row r="22" spans="1:5" ht="35" thickBot="1" x14ac:dyDescent="0.25">
      <c r="A22" s="77" t="s">
        <v>1437</v>
      </c>
      <c r="B22" s="78"/>
      <c r="C22" s="78"/>
      <c r="D22" s="78"/>
      <c r="E22" s="79"/>
    </row>
  </sheetData>
  <mergeCells count="2">
    <mergeCell ref="A1:E1"/>
    <mergeCell ref="A2:E2"/>
  </mergeCells>
  <pageMargins left="0.7" right="0.7" top="0.75" bottom="0.75" header="0.3" footer="0.3"/>
  <pageSetup scale="73" orientation="portrait" r:id="rId1"/>
  <headerFooter>
    <oddHeader>&amp;C&amp;"-,Bold"&amp;A</oddHeader>
    <oddFooter>&amp;LPage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9">
    <tabColor theme="6" tint="0.39997558519241921"/>
  </sheetPr>
  <dimension ref="B1:C23"/>
  <sheetViews>
    <sheetView zoomScale="90" zoomScaleNormal="90" workbookViewId="0">
      <selection activeCell="C2" sqref="C2"/>
    </sheetView>
  </sheetViews>
  <sheetFormatPr baseColWidth="10" defaultColWidth="8.83203125" defaultRowHeight="15" x14ac:dyDescent="0.2"/>
  <cols>
    <col min="1" max="1" width="8.83203125" style="502"/>
    <col min="2" max="2" width="3" style="469" bestFit="1" customWidth="1"/>
    <col min="3" max="3" width="84.5" style="524" customWidth="1"/>
    <col min="4" max="16384" width="8.83203125" style="502"/>
  </cols>
  <sheetData>
    <row r="1" spans="2:3" ht="19" x14ac:dyDescent="0.2">
      <c r="C1" s="591" t="s">
        <v>1438</v>
      </c>
    </row>
    <row r="2" spans="2:3" ht="32" x14ac:dyDescent="0.2">
      <c r="B2" s="475">
        <v>1</v>
      </c>
      <c r="C2" s="588" t="s">
        <v>1439</v>
      </c>
    </row>
    <row r="3" spans="2:3" ht="32" x14ac:dyDescent="0.2">
      <c r="B3" s="475">
        <v>2</v>
      </c>
      <c r="C3" s="588" t="s">
        <v>1440</v>
      </c>
    </row>
    <row r="4" spans="2:3" ht="32" x14ac:dyDescent="0.2">
      <c r="B4" s="475">
        <v>3</v>
      </c>
      <c r="C4" s="588" t="s">
        <v>1441</v>
      </c>
    </row>
    <row r="5" spans="2:3" ht="48" x14ac:dyDescent="0.2">
      <c r="B5" s="475">
        <v>4</v>
      </c>
      <c r="C5" s="588" t="s">
        <v>1442</v>
      </c>
    </row>
    <row r="6" spans="2:3" ht="32" x14ac:dyDescent="0.2">
      <c r="B6" s="475">
        <v>5</v>
      </c>
      <c r="C6" s="588" t="s">
        <v>1443</v>
      </c>
    </row>
    <row r="7" spans="2:3" ht="48" x14ac:dyDescent="0.2">
      <c r="B7" s="475">
        <v>6</v>
      </c>
      <c r="C7" s="588" t="s">
        <v>1444</v>
      </c>
    </row>
    <row r="8" spans="2:3" ht="32" x14ac:dyDescent="0.2">
      <c r="B8" s="475">
        <v>7</v>
      </c>
      <c r="C8" s="588" t="s">
        <v>1445</v>
      </c>
    </row>
    <row r="9" spans="2:3" ht="16" x14ac:dyDescent="0.2">
      <c r="B9" s="475">
        <v>8</v>
      </c>
      <c r="C9" s="588" t="s">
        <v>1446</v>
      </c>
    </row>
    <row r="10" spans="2:3" ht="16" x14ac:dyDescent="0.2">
      <c r="B10" s="475">
        <v>9</v>
      </c>
      <c r="C10" s="588" t="s">
        <v>2054</v>
      </c>
    </row>
    <row r="11" spans="2:3" ht="78.75" customHeight="1" x14ac:dyDescent="0.2">
      <c r="B11" s="475">
        <v>10</v>
      </c>
      <c r="C11" s="588" t="s">
        <v>1447</v>
      </c>
    </row>
    <row r="12" spans="2:3" ht="64" x14ac:dyDescent="0.2">
      <c r="B12" s="475">
        <v>11</v>
      </c>
      <c r="C12" s="588" t="s">
        <v>2055</v>
      </c>
    </row>
    <row r="13" spans="2:3" ht="32" x14ac:dyDescent="0.2">
      <c r="B13" s="475">
        <v>12</v>
      </c>
      <c r="C13" s="588" t="s">
        <v>1448</v>
      </c>
    </row>
    <row r="14" spans="2:3" ht="32" x14ac:dyDescent="0.2">
      <c r="B14" s="475">
        <v>13</v>
      </c>
      <c r="C14" s="588" t="s">
        <v>1449</v>
      </c>
    </row>
    <row r="15" spans="2:3" ht="96" x14ac:dyDescent="0.2">
      <c r="B15" s="475">
        <v>14</v>
      </c>
      <c r="C15" s="588" t="s">
        <v>1450</v>
      </c>
    </row>
    <row r="16" spans="2:3" ht="16" x14ac:dyDescent="0.2">
      <c r="B16" s="475">
        <v>15</v>
      </c>
      <c r="C16" s="588" t="s">
        <v>2056</v>
      </c>
    </row>
    <row r="17" spans="2:3" ht="32" x14ac:dyDescent="0.2">
      <c r="B17" s="475">
        <v>16</v>
      </c>
      <c r="C17" s="588" t="s">
        <v>2057</v>
      </c>
    </row>
    <row r="18" spans="2:3" ht="16" x14ac:dyDescent="0.2">
      <c r="B18" s="475">
        <v>17</v>
      </c>
      <c r="C18" s="589" t="s">
        <v>2058</v>
      </c>
    </row>
    <row r="19" spans="2:3" ht="48" x14ac:dyDescent="0.2">
      <c r="B19" s="475">
        <v>18</v>
      </c>
      <c r="C19" s="589" t="s">
        <v>2059</v>
      </c>
    </row>
    <row r="20" spans="2:3" ht="64" x14ac:dyDescent="0.2">
      <c r="B20" s="361">
        <v>19</v>
      </c>
      <c r="C20" s="590" t="s">
        <v>2060</v>
      </c>
    </row>
    <row r="21" spans="2:3" ht="32" x14ac:dyDescent="0.2">
      <c r="B21" s="361">
        <v>20</v>
      </c>
      <c r="C21" s="590" t="s">
        <v>1451</v>
      </c>
    </row>
    <row r="22" spans="2:3" ht="32" x14ac:dyDescent="0.2">
      <c r="B22" s="361">
        <v>21</v>
      </c>
      <c r="C22" s="590" t="s">
        <v>1452</v>
      </c>
    </row>
    <row r="23" spans="2:3" ht="48" x14ac:dyDescent="0.2">
      <c r="B23" s="361">
        <v>22</v>
      </c>
      <c r="C23" s="590" t="s">
        <v>1453</v>
      </c>
    </row>
  </sheetData>
  <printOptions horizontalCentered="1"/>
  <pageMargins left="0.7" right="0.7" top="0.75" bottom="0.75" header="0.3" footer="0.3"/>
  <pageSetup scale="73" orientation="portrait" r:id="rId1"/>
  <headerFooter>
    <oddHeader>&amp;C&amp;"-,Bold"&amp;A</oddHeader>
    <oddFooter>&amp;LPage &amp;P</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3">
    <pageSetUpPr fitToPage="1"/>
  </sheetPr>
  <dimension ref="A1:A685"/>
  <sheetViews>
    <sheetView zoomScaleNormal="100" workbookViewId="0"/>
  </sheetViews>
  <sheetFormatPr baseColWidth="10" defaultColWidth="8.83203125" defaultRowHeight="15" x14ac:dyDescent="0.2"/>
  <cols>
    <col min="1" max="1" width="117.1640625" style="36" customWidth="1"/>
    <col min="2" max="16384" width="8.83203125" style="60"/>
  </cols>
  <sheetData>
    <row r="1" spans="1:1" x14ac:dyDescent="0.2">
      <c r="A1" s="65" t="s">
        <v>1454</v>
      </c>
    </row>
    <row r="2" spans="1:1" x14ac:dyDescent="0.2">
      <c r="A2" s="66" t="s">
        <v>1455</v>
      </c>
    </row>
    <row r="3" spans="1:1" x14ac:dyDescent="0.2">
      <c r="A3" s="65" t="s">
        <v>1456</v>
      </c>
    </row>
    <row r="4" spans="1:1" x14ac:dyDescent="0.2">
      <c r="A4" s="66" t="s">
        <v>1457</v>
      </c>
    </row>
    <row r="5" spans="1:1" x14ac:dyDescent="0.2">
      <c r="A5" s="65" t="s">
        <v>1458</v>
      </c>
    </row>
    <row r="6" spans="1:1" x14ac:dyDescent="0.2">
      <c r="A6" s="66" t="s">
        <v>1459</v>
      </c>
    </row>
    <row r="7" spans="1:1" x14ac:dyDescent="0.2">
      <c r="A7" s="65" t="s">
        <v>1460</v>
      </c>
    </row>
    <row r="8" spans="1:1" x14ac:dyDescent="0.2">
      <c r="A8" s="66" t="s">
        <v>1461</v>
      </c>
    </row>
    <row r="9" spans="1:1" x14ac:dyDescent="0.2">
      <c r="A9" s="65" t="s">
        <v>1462</v>
      </c>
    </row>
    <row r="10" spans="1:1" x14ac:dyDescent="0.2">
      <c r="A10" s="66" t="s">
        <v>1457</v>
      </c>
    </row>
    <row r="11" spans="1:1" x14ac:dyDescent="0.2">
      <c r="A11" s="65" t="s">
        <v>1463</v>
      </c>
    </row>
    <row r="12" spans="1:1" x14ac:dyDescent="0.2">
      <c r="A12" s="66" t="s">
        <v>1459</v>
      </c>
    </row>
    <row r="13" spans="1:1" x14ac:dyDescent="0.2">
      <c r="A13" s="65" t="s">
        <v>1464</v>
      </c>
    </row>
    <row r="14" spans="1:1" x14ac:dyDescent="0.2">
      <c r="A14" s="66" t="s">
        <v>1465</v>
      </c>
    </row>
    <row r="15" spans="1:1" x14ac:dyDescent="0.2">
      <c r="A15" s="65" t="s">
        <v>1466</v>
      </c>
    </row>
    <row r="16" spans="1:1" x14ac:dyDescent="0.2">
      <c r="A16" s="66" t="s">
        <v>1467</v>
      </c>
    </row>
    <row r="17" spans="1:1" x14ac:dyDescent="0.2">
      <c r="A17" s="65" t="s">
        <v>1468</v>
      </c>
    </row>
    <row r="18" spans="1:1" x14ac:dyDescent="0.2">
      <c r="A18" s="66" t="s">
        <v>1469</v>
      </c>
    </row>
    <row r="19" spans="1:1" x14ac:dyDescent="0.2">
      <c r="A19" s="65" t="s">
        <v>1470</v>
      </c>
    </row>
    <row r="20" spans="1:1" x14ac:dyDescent="0.2">
      <c r="A20" s="66" t="s">
        <v>1471</v>
      </c>
    </row>
    <row r="21" spans="1:1" x14ac:dyDescent="0.2">
      <c r="A21" s="65" t="s">
        <v>1472</v>
      </c>
    </row>
    <row r="22" spans="1:1" x14ac:dyDescent="0.2">
      <c r="A22" s="66" t="s">
        <v>1473</v>
      </c>
    </row>
    <row r="23" spans="1:1" x14ac:dyDescent="0.2">
      <c r="A23" s="65" t="s">
        <v>1474</v>
      </c>
    </row>
    <row r="24" spans="1:1" x14ac:dyDescent="0.2">
      <c r="A24" s="66" t="s">
        <v>1475</v>
      </c>
    </row>
    <row r="25" spans="1:1" x14ac:dyDescent="0.2">
      <c r="A25" s="65" t="s">
        <v>1476</v>
      </c>
    </row>
    <row r="26" spans="1:1" x14ac:dyDescent="0.2">
      <c r="A26" s="66" t="s">
        <v>1477</v>
      </c>
    </row>
    <row r="27" spans="1:1" x14ac:dyDescent="0.2">
      <c r="A27" s="65" t="s">
        <v>1478</v>
      </c>
    </row>
    <row r="28" spans="1:1" x14ac:dyDescent="0.2">
      <c r="A28" s="66" t="s">
        <v>1479</v>
      </c>
    </row>
    <row r="29" spans="1:1" x14ac:dyDescent="0.2">
      <c r="A29" s="65" t="s">
        <v>1480</v>
      </c>
    </row>
    <row r="30" spans="1:1" x14ac:dyDescent="0.2">
      <c r="A30" s="66" t="s">
        <v>1481</v>
      </c>
    </row>
    <row r="31" spans="1:1" x14ac:dyDescent="0.2">
      <c r="A31" s="65" t="s">
        <v>1482</v>
      </c>
    </row>
    <row r="32" spans="1:1" x14ac:dyDescent="0.2">
      <c r="A32" s="66" t="s">
        <v>1483</v>
      </c>
    </row>
    <row r="33" spans="1:1" x14ac:dyDescent="0.2">
      <c r="A33" s="65" t="s">
        <v>1484</v>
      </c>
    </row>
    <row r="34" spans="1:1" x14ac:dyDescent="0.2">
      <c r="A34" s="66" t="s">
        <v>1481</v>
      </c>
    </row>
    <row r="35" spans="1:1" x14ac:dyDescent="0.2">
      <c r="A35" s="65" t="s">
        <v>1485</v>
      </c>
    </row>
    <row r="36" spans="1:1" x14ac:dyDescent="0.2">
      <c r="A36" s="66" t="s">
        <v>1483</v>
      </c>
    </row>
    <row r="37" spans="1:1" x14ac:dyDescent="0.2">
      <c r="A37" s="65" t="s">
        <v>1486</v>
      </c>
    </row>
    <row r="38" spans="1:1" x14ac:dyDescent="0.2">
      <c r="A38" s="66" t="s">
        <v>1481</v>
      </c>
    </row>
    <row r="39" spans="1:1" x14ac:dyDescent="0.2">
      <c r="A39" s="65" t="s">
        <v>1487</v>
      </c>
    </row>
    <row r="40" spans="1:1" x14ac:dyDescent="0.2">
      <c r="A40" s="66" t="s">
        <v>1483</v>
      </c>
    </row>
    <row r="41" spans="1:1" x14ac:dyDescent="0.2">
      <c r="A41" s="65" t="s">
        <v>1488</v>
      </c>
    </row>
    <row r="42" spans="1:1" x14ac:dyDescent="0.2">
      <c r="A42" s="66" t="s">
        <v>1489</v>
      </c>
    </row>
    <row r="43" spans="1:1" x14ac:dyDescent="0.2">
      <c r="A43" s="65" t="s">
        <v>1490</v>
      </c>
    </row>
    <row r="44" spans="1:1" x14ac:dyDescent="0.2">
      <c r="A44" s="66" t="s">
        <v>1491</v>
      </c>
    </row>
    <row r="45" spans="1:1" x14ac:dyDescent="0.2">
      <c r="A45" s="65" t="s">
        <v>1492</v>
      </c>
    </row>
    <row r="46" spans="1:1" x14ac:dyDescent="0.2">
      <c r="A46" s="66" t="s">
        <v>1493</v>
      </c>
    </row>
    <row r="47" spans="1:1" x14ac:dyDescent="0.2">
      <c r="A47" s="65" t="s">
        <v>1494</v>
      </c>
    </row>
    <row r="48" spans="1:1" x14ac:dyDescent="0.2">
      <c r="A48" s="66" t="s">
        <v>1495</v>
      </c>
    </row>
    <row r="49" spans="1:1" x14ac:dyDescent="0.2">
      <c r="A49" s="65" t="s">
        <v>1496</v>
      </c>
    </row>
    <row r="50" spans="1:1" x14ac:dyDescent="0.2">
      <c r="A50" s="66" t="s">
        <v>1493</v>
      </c>
    </row>
    <row r="51" spans="1:1" x14ac:dyDescent="0.2">
      <c r="A51" s="65" t="s">
        <v>1497</v>
      </c>
    </row>
    <row r="52" spans="1:1" x14ac:dyDescent="0.2">
      <c r="A52" s="66" t="s">
        <v>1498</v>
      </c>
    </row>
    <row r="53" spans="1:1" x14ac:dyDescent="0.2">
      <c r="A53" s="65" t="s">
        <v>1499</v>
      </c>
    </row>
    <row r="54" spans="1:1" x14ac:dyDescent="0.2">
      <c r="A54" s="66" t="s">
        <v>1493</v>
      </c>
    </row>
    <row r="55" spans="1:1" x14ac:dyDescent="0.2">
      <c r="A55" s="65" t="s">
        <v>1500</v>
      </c>
    </row>
    <row r="56" spans="1:1" x14ac:dyDescent="0.2">
      <c r="A56" s="66" t="s">
        <v>1501</v>
      </c>
    </row>
    <row r="57" spans="1:1" x14ac:dyDescent="0.2">
      <c r="A57" s="65" t="s">
        <v>1502</v>
      </c>
    </row>
    <row r="58" spans="1:1" x14ac:dyDescent="0.2">
      <c r="A58" s="66" t="s">
        <v>1503</v>
      </c>
    </row>
    <row r="59" spans="1:1" x14ac:dyDescent="0.2">
      <c r="A59" s="65" t="s">
        <v>1504</v>
      </c>
    </row>
    <row r="60" spans="1:1" x14ac:dyDescent="0.2">
      <c r="A60" s="66" t="s">
        <v>1505</v>
      </c>
    </row>
    <row r="61" spans="1:1" x14ac:dyDescent="0.2">
      <c r="A61" s="65" t="s">
        <v>1506</v>
      </c>
    </row>
    <row r="62" spans="1:1" x14ac:dyDescent="0.2">
      <c r="A62" s="66" t="s">
        <v>1501</v>
      </c>
    </row>
    <row r="63" spans="1:1" x14ac:dyDescent="0.2">
      <c r="A63" s="65" t="s">
        <v>1507</v>
      </c>
    </row>
    <row r="64" spans="1:1" x14ac:dyDescent="0.2">
      <c r="A64" s="66" t="s">
        <v>1503</v>
      </c>
    </row>
    <row r="65" spans="1:1" x14ac:dyDescent="0.2">
      <c r="A65" s="65" t="s">
        <v>1508</v>
      </c>
    </row>
    <row r="66" spans="1:1" x14ac:dyDescent="0.2">
      <c r="A66" s="66" t="s">
        <v>1509</v>
      </c>
    </row>
    <row r="67" spans="1:1" x14ac:dyDescent="0.2">
      <c r="A67" s="65" t="s">
        <v>1510</v>
      </c>
    </row>
    <row r="68" spans="1:1" x14ac:dyDescent="0.2">
      <c r="A68" s="66" t="s">
        <v>1511</v>
      </c>
    </row>
    <row r="69" spans="1:1" x14ac:dyDescent="0.2">
      <c r="A69" s="65" t="s">
        <v>1512</v>
      </c>
    </row>
    <row r="70" spans="1:1" x14ac:dyDescent="0.2">
      <c r="A70" s="66" t="s">
        <v>1501</v>
      </c>
    </row>
    <row r="71" spans="1:1" x14ac:dyDescent="0.2">
      <c r="A71" s="65" t="s">
        <v>1513</v>
      </c>
    </row>
    <row r="72" spans="1:1" x14ac:dyDescent="0.2">
      <c r="A72" s="66" t="s">
        <v>1503</v>
      </c>
    </row>
    <row r="73" spans="1:1" x14ac:dyDescent="0.2">
      <c r="A73" s="65" t="s">
        <v>1514</v>
      </c>
    </row>
    <row r="74" spans="1:1" x14ac:dyDescent="0.2">
      <c r="A74" s="66" t="s">
        <v>1515</v>
      </c>
    </row>
    <row r="75" spans="1:1" x14ac:dyDescent="0.2">
      <c r="A75" s="65" t="s">
        <v>1516</v>
      </c>
    </row>
    <row r="76" spans="1:1" x14ac:dyDescent="0.2">
      <c r="A76" s="66" t="s">
        <v>1517</v>
      </c>
    </row>
    <row r="77" spans="1:1" x14ac:dyDescent="0.2">
      <c r="A77" s="65" t="s">
        <v>1518</v>
      </c>
    </row>
    <row r="78" spans="1:1" x14ac:dyDescent="0.2">
      <c r="A78" s="66" t="s">
        <v>1501</v>
      </c>
    </row>
    <row r="79" spans="1:1" x14ac:dyDescent="0.2">
      <c r="A79" s="65" t="s">
        <v>1519</v>
      </c>
    </row>
    <row r="80" spans="1:1" x14ac:dyDescent="0.2">
      <c r="A80" s="66" t="s">
        <v>1503</v>
      </c>
    </row>
    <row r="81" spans="1:1" x14ac:dyDescent="0.2">
      <c r="A81" s="65" t="s">
        <v>1520</v>
      </c>
    </row>
    <row r="82" spans="1:1" x14ac:dyDescent="0.2">
      <c r="A82" s="66" t="s">
        <v>1505</v>
      </c>
    </row>
    <row r="83" spans="1:1" x14ac:dyDescent="0.2">
      <c r="A83" s="65" t="s">
        <v>1521</v>
      </c>
    </row>
    <row r="84" spans="1:1" x14ac:dyDescent="0.2">
      <c r="A84" s="66" t="s">
        <v>1522</v>
      </c>
    </row>
    <row r="85" spans="1:1" x14ac:dyDescent="0.2">
      <c r="A85" s="65" t="s">
        <v>1523</v>
      </c>
    </row>
    <row r="86" spans="1:1" x14ac:dyDescent="0.2">
      <c r="A86" s="66" t="s">
        <v>1501</v>
      </c>
    </row>
    <row r="87" spans="1:1" x14ac:dyDescent="0.2">
      <c r="A87" s="65" t="s">
        <v>1524</v>
      </c>
    </row>
    <row r="88" spans="1:1" x14ac:dyDescent="0.2">
      <c r="A88" s="66" t="s">
        <v>1525</v>
      </c>
    </row>
    <row r="89" spans="1:1" x14ac:dyDescent="0.2">
      <c r="A89" s="65" t="s">
        <v>1526</v>
      </c>
    </row>
    <row r="90" spans="1:1" x14ac:dyDescent="0.2">
      <c r="A90" s="66" t="s">
        <v>1527</v>
      </c>
    </row>
    <row r="91" spans="1:1" x14ac:dyDescent="0.2">
      <c r="A91" s="65" t="s">
        <v>1528</v>
      </c>
    </row>
    <row r="92" spans="1:1" x14ac:dyDescent="0.2">
      <c r="A92" s="66" t="s">
        <v>1529</v>
      </c>
    </row>
    <row r="93" spans="1:1" x14ac:dyDescent="0.2">
      <c r="A93" s="65" t="s">
        <v>1530</v>
      </c>
    </row>
    <row r="94" spans="1:1" x14ac:dyDescent="0.2">
      <c r="A94" s="66" t="s">
        <v>1531</v>
      </c>
    </row>
    <row r="95" spans="1:1" x14ac:dyDescent="0.2">
      <c r="A95" s="65" t="s">
        <v>1532</v>
      </c>
    </row>
    <row r="96" spans="1:1" x14ac:dyDescent="0.2">
      <c r="A96" s="66" t="s">
        <v>1533</v>
      </c>
    </row>
    <row r="97" spans="1:1" x14ac:dyDescent="0.2">
      <c r="A97" s="65" t="s">
        <v>1534</v>
      </c>
    </row>
    <row r="98" spans="1:1" x14ac:dyDescent="0.2">
      <c r="A98" s="66" t="s">
        <v>1535</v>
      </c>
    </row>
    <row r="99" spans="1:1" x14ac:dyDescent="0.2">
      <c r="A99" s="65" t="s">
        <v>1536</v>
      </c>
    </row>
    <row r="100" spans="1:1" x14ac:dyDescent="0.2">
      <c r="A100" s="66" t="s">
        <v>1537</v>
      </c>
    </row>
    <row r="101" spans="1:1" x14ac:dyDescent="0.2">
      <c r="A101" s="65" t="s">
        <v>1538</v>
      </c>
    </row>
    <row r="102" spans="1:1" x14ac:dyDescent="0.2">
      <c r="A102" s="66" t="s">
        <v>1539</v>
      </c>
    </row>
    <row r="103" spans="1:1" x14ac:dyDescent="0.2">
      <c r="A103" s="65" t="s">
        <v>1540</v>
      </c>
    </row>
    <row r="104" spans="1:1" x14ac:dyDescent="0.2">
      <c r="A104" s="66" t="s">
        <v>1533</v>
      </c>
    </row>
    <row r="105" spans="1:1" x14ac:dyDescent="0.2">
      <c r="A105" s="65" t="s">
        <v>1541</v>
      </c>
    </row>
    <row r="106" spans="1:1" x14ac:dyDescent="0.2">
      <c r="A106" s="66" t="s">
        <v>1535</v>
      </c>
    </row>
    <row r="107" spans="1:1" x14ac:dyDescent="0.2">
      <c r="A107" s="65" t="s">
        <v>1542</v>
      </c>
    </row>
    <row r="108" spans="1:1" x14ac:dyDescent="0.2">
      <c r="A108" s="66" t="s">
        <v>1537</v>
      </c>
    </row>
    <row r="109" spans="1:1" x14ac:dyDescent="0.2">
      <c r="A109" s="65" t="s">
        <v>1543</v>
      </c>
    </row>
    <row r="110" spans="1:1" x14ac:dyDescent="0.2">
      <c r="A110" s="66" t="s">
        <v>1544</v>
      </c>
    </row>
    <row r="111" spans="1:1" x14ac:dyDescent="0.2">
      <c r="A111" s="65" t="s">
        <v>1545</v>
      </c>
    </row>
    <row r="112" spans="1:1" x14ac:dyDescent="0.2">
      <c r="A112" s="66" t="s">
        <v>1533</v>
      </c>
    </row>
    <row r="113" spans="1:1" x14ac:dyDescent="0.2">
      <c r="A113" s="65" t="s">
        <v>1546</v>
      </c>
    </row>
    <row r="114" spans="1:1" x14ac:dyDescent="0.2">
      <c r="A114" s="66" t="s">
        <v>1535</v>
      </c>
    </row>
    <row r="115" spans="1:1" x14ac:dyDescent="0.2">
      <c r="A115" s="65" t="s">
        <v>1547</v>
      </c>
    </row>
    <row r="116" spans="1:1" x14ac:dyDescent="0.2">
      <c r="A116" s="66" t="s">
        <v>1537</v>
      </c>
    </row>
    <row r="117" spans="1:1" x14ac:dyDescent="0.2">
      <c r="A117" s="65" t="s">
        <v>1548</v>
      </c>
    </row>
    <row r="118" spans="1:1" x14ac:dyDescent="0.2">
      <c r="A118" s="66" t="s">
        <v>1531</v>
      </c>
    </row>
    <row r="119" spans="1:1" x14ac:dyDescent="0.2">
      <c r="A119" s="65" t="s">
        <v>1549</v>
      </c>
    </row>
    <row r="120" spans="1:1" x14ac:dyDescent="0.2">
      <c r="A120" s="66" t="s">
        <v>1550</v>
      </c>
    </row>
    <row r="121" spans="1:1" x14ac:dyDescent="0.2">
      <c r="A121" s="65" t="s">
        <v>1551</v>
      </c>
    </row>
    <row r="122" spans="1:1" x14ac:dyDescent="0.2">
      <c r="A122" s="66" t="s">
        <v>1552</v>
      </c>
    </row>
    <row r="123" spans="1:1" x14ac:dyDescent="0.2">
      <c r="A123" s="65" t="s">
        <v>1553</v>
      </c>
    </row>
    <row r="124" spans="1:1" x14ac:dyDescent="0.2">
      <c r="A124" s="66" t="s">
        <v>1554</v>
      </c>
    </row>
    <row r="125" spans="1:1" x14ac:dyDescent="0.2">
      <c r="A125" s="65" t="s">
        <v>1555</v>
      </c>
    </row>
    <row r="126" spans="1:1" x14ac:dyDescent="0.2">
      <c r="A126" s="66" t="s">
        <v>1556</v>
      </c>
    </row>
    <row r="127" spans="1:1" x14ac:dyDescent="0.2">
      <c r="A127" s="65" t="s">
        <v>1557</v>
      </c>
    </row>
    <row r="128" spans="1:1" x14ac:dyDescent="0.2">
      <c r="A128" s="66" t="s">
        <v>1558</v>
      </c>
    </row>
    <row r="129" spans="1:1" x14ac:dyDescent="0.2">
      <c r="A129" s="65" t="s">
        <v>1559</v>
      </c>
    </row>
    <row r="130" spans="1:1" x14ac:dyDescent="0.2">
      <c r="A130" s="66" t="s">
        <v>1560</v>
      </c>
    </row>
    <row r="131" spans="1:1" x14ac:dyDescent="0.2">
      <c r="A131" s="65" t="s">
        <v>1561</v>
      </c>
    </row>
    <row r="132" spans="1:1" x14ac:dyDescent="0.2">
      <c r="A132" s="66" t="s">
        <v>1562</v>
      </c>
    </row>
    <row r="133" spans="1:1" x14ac:dyDescent="0.2">
      <c r="A133" s="65" t="s">
        <v>1563</v>
      </c>
    </row>
    <row r="134" spans="1:1" x14ac:dyDescent="0.2">
      <c r="A134" s="66" t="s">
        <v>1556</v>
      </c>
    </row>
    <row r="135" spans="1:1" x14ac:dyDescent="0.2">
      <c r="A135" s="65" t="s">
        <v>1564</v>
      </c>
    </row>
    <row r="136" spans="1:1" x14ac:dyDescent="0.2">
      <c r="A136" s="66" t="s">
        <v>1558</v>
      </c>
    </row>
    <row r="137" spans="1:1" x14ac:dyDescent="0.2">
      <c r="A137" s="65" t="s">
        <v>1565</v>
      </c>
    </row>
    <row r="138" spans="1:1" x14ac:dyDescent="0.2">
      <c r="A138" s="66" t="s">
        <v>1560</v>
      </c>
    </row>
    <row r="139" spans="1:1" x14ac:dyDescent="0.2">
      <c r="A139" s="65" t="s">
        <v>1566</v>
      </c>
    </row>
    <row r="140" spans="1:1" x14ac:dyDescent="0.2">
      <c r="A140" s="66" t="s">
        <v>1562</v>
      </c>
    </row>
    <row r="141" spans="1:1" x14ac:dyDescent="0.2">
      <c r="A141" s="65" t="s">
        <v>1567</v>
      </c>
    </row>
    <row r="142" spans="1:1" x14ac:dyDescent="0.2">
      <c r="A142" s="66" t="s">
        <v>1556</v>
      </c>
    </row>
    <row r="143" spans="1:1" x14ac:dyDescent="0.2">
      <c r="A143" s="65" t="s">
        <v>1568</v>
      </c>
    </row>
    <row r="144" spans="1:1" x14ac:dyDescent="0.2">
      <c r="A144" s="66" t="s">
        <v>1558</v>
      </c>
    </row>
    <row r="145" spans="1:1" x14ac:dyDescent="0.2">
      <c r="A145" s="65" t="s">
        <v>1569</v>
      </c>
    </row>
    <row r="146" spans="1:1" x14ac:dyDescent="0.2">
      <c r="A146" s="66" t="s">
        <v>1560</v>
      </c>
    </row>
    <row r="147" spans="1:1" x14ac:dyDescent="0.2">
      <c r="A147" s="65" t="s">
        <v>1570</v>
      </c>
    </row>
    <row r="148" spans="1:1" x14ac:dyDescent="0.2">
      <c r="A148" s="66" t="s">
        <v>1562</v>
      </c>
    </row>
    <row r="149" spans="1:1" x14ac:dyDescent="0.2">
      <c r="A149" s="65" t="s">
        <v>1571</v>
      </c>
    </row>
    <row r="150" spans="1:1" x14ac:dyDescent="0.2">
      <c r="A150" s="66" t="s">
        <v>1572</v>
      </c>
    </row>
    <row r="151" spans="1:1" x14ac:dyDescent="0.2">
      <c r="A151" s="65" t="s">
        <v>1573</v>
      </c>
    </row>
    <row r="152" spans="1:1" x14ac:dyDescent="0.2">
      <c r="A152" s="66" t="s">
        <v>1574</v>
      </c>
    </row>
    <row r="153" spans="1:1" x14ac:dyDescent="0.2">
      <c r="A153" s="65" t="s">
        <v>1575</v>
      </c>
    </row>
    <row r="154" spans="1:1" x14ac:dyDescent="0.2">
      <c r="A154" s="66" t="s">
        <v>1576</v>
      </c>
    </row>
    <row r="155" spans="1:1" x14ac:dyDescent="0.2">
      <c r="A155" s="65" t="s">
        <v>1577</v>
      </c>
    </row>
    <row r="156" spans="1:1" x14ac:dyDescent="0.2">
      <c r="A156" s="66" t="s">
        <v>1578</v>
      </c>
    </row>
    <row r="157" spans="1:1" x14ac:dyDescent="0.2">
      <c r="A157" s="65" t="s">
        <v>1579</v>
      </c>
    </row>
    <row r="158" spans="1:1" x14ac:dyDescent="0.2">
      <c r="A158" s="66" t="s">
        <v>1580</v>
      </c>
    </row>
    <row r="159" spans="1:1" x14ac:dyDescent="0.2">
      <c r="A159" s="65" t="s">
        <v>1581</v>
      </c>
    </row>
    <row r="160" spans="1:1" x14ac:dyDescent="0.2">
      <c r="A160" s="66" t="s">
        <v>1582</v>
      </c>
    </row>
    <row r="161" spans="1:1" x14ac:dyDescent="0.2">
      <c r="A161" s="65" t="s">
        <v>1583</v>
      </c>
    </row>
    <row r="162" spans="1:1" x14ac:dyDescent="0.2">
      <c r="A162" s="66" t="s">
        <v>1574</v>
      </c>
    </row>
    <row r="163" spans="1:1" x14ac:dyDescent="0.2">
      <c r="A163" s="65" t="s">
        <v>1584</v>
      </c>
    </row>
    <row r="164" spans="1:1" x14ac:dyDescent="0.2">
      <c r="A164" s="66" t="s">
        <v>1585</v>
      </c>
    </row>
    <row r="165" spans="1:1" x14ac:dyDescent="0.2">
      <c r="A165" s="65" t="s">
        <v>1586</v>
      </c>
    </row>
    <row r="166" spans="1:1" x14ac:dyDescent="0.2">
      <c r="A166" s="66" t="s">
        <v>1587</v>
      </c>
    </row>
    <row r="167" spans="1:1" x14ac:dyDescent="0.2">
      <c r="A167" s="65" t="s">
        <v>1588</v>
      </c>
    </row>
    <row r="168" spans="1:1" x14ac:dyDescent="0.2">
      <c r="A168" s="66" t="s">
        <v>1580</v>
      </c>
    </row>
    <row r="169" spans="1:1" x14ac:dyDescent="0.2">
      <c r="A169" s="65" t="s">
        <v>1589</v>
      </c>
    </row>
    <row r="170" spans="1:1" x14ac:dyDescent="0.2">
      <c r="A170" s="66" t="s">
        <v>1582</v>
      </c>
    </row>
    <row r="171" spans="1:1" x14ac:dyDescent="0.2">
      <c r="A171" s="65" t="s">
        <v>1590</v>
      </c>
    </row>
    <row r="172" spans="1:1" x14ac:dyDescent="0.2">
      <c r="A172" s="66" t="s">
        <v>1574</v>
      </c>
    </row>
    <row r="173" spans="1:1" x14ac:dyDescent="0.2">
      <c r="A173" s="65" t="s">
        <v>1591</v>
      </c>
    </row>
    <row r="174" spans="1:1" x14ac:dyDescent="0.2">
      <c r="A174" s="66" t="s">
        <v>1585</v>
      </c>
    </row>
    <row r="175" spans="1:1" x14ac:dyDescent="0.2">
      <c r="A175" s="65" t="s">
        <v>1592</v>
      </c>
    </row>
    <row r="176" spans="1:1" x14ac:dyDescent="0.2">
      <c r="A176" s="66" t="s">
        <v>1593</v>
      </c>
    </row>
    <row r="177" spans="1:1" x14ac:dyDescent="0.2">
      <c r="A177" s="65" t="s">
        <v>1594</v>
      </c>
    </row>
    <row r="178" spans="1:1" x14ac:dyDescent="0.2">
      <c r="A178" s="66" t="s">
        <v>1595</v>
      </c>
    </row>
    <row r="179" spans="1:1" x14ac:dyDescent="0.2">
      <c r="A179" s="65" t="s">
        <v>1596</v>
      </c>
    </row>
    <row r="180" spans="1:1" x14ac:dyDescent="0.2">
      <c r="A180" s="66" t="s">
        <v>1582</v>
      </c>
    </row>
    <row r="181" spans="1:1" x14ac:dyDescent="0.2">
      <c r="A181" s="65" t="s">
        <v>1597</v>
      </c>
    </row>
    <row r="182" spans="1:1" x14ac:dyDescent="0.2">
      <c r="A182" s="66" t="s">
        <v>1574</v>
      </c>
    </row>
    <row r="183" spans="1:1" x14ac:dyDescent="0.2">
      <c r="A183" s="65" t="s">
        <v>1598</v>
      </c>
    </row>
    <row r="184" spans="1:1" x14ac:dyDescent="0.2">
      <c r="A184" s="66" t="s">
        <v>1599</v>
      </c>
    </row>
    <row r="185" spans="1:1" x14ac:dyDescent="0.2">
      <c r="A185" s="65" t="s">
        <v>1600</v>
      </c>
    </row>
    <row r="186" spans="1:1" x14ac:dyDescent="0.2">
      <c r="A186" s="66" t="s">
        <v>1601</v>
      </c>
    </row>
    <row r="187" spans="1:1" x14ac:dyDescent="0.2">
      <c r="A187" s="65" t="s">
        <v>1602</v>
      </c>
    </row>
    <row r="188" spans="1:1" x14ac:dyDescent="0.2">
      <c r="A188" s="66" t="s">
        <v>1574</v>
      </c>
    </row>
    <row r="189" spans="1:1" x14ac:dyDescent="0.2">
      <c r="A189" s="65" t="s">
        <v>1603</v>
      </c>
    </row>
    <row r="190" spans="1:1" x14ac:dyDescent="0.2">
      <c r="A190" s="66" t="s">
        <v>1604</v>
      </c>
    </row>
    <row r="191" spans="1:1" x14ac:dyDescent="0.2">
      <c r="A191" s="65" t="s">
        <v>1605</v>
      </c>
    </row>
    <row r="192" spans="1:1" x14ac:dyDescent="0.2">
      <c r="A192" s="66" t="s">
        <v>1606</v>
      </c>
    </row>
    <row r="193" spans="1:1" x14ac:dyDescent="0.2">
      <c r="A193" s="65" t="s">
        <v>1607</v>
      </c>
    </row>
    <row r="194" spans="1:1" x14ac:dyDescent="0.2">
      <c r="A194" s="66" t="s">
        <v>1608</v>
      </c>
    </row>
    <row r="195" spans="1:1" x14ac:dyDescent="0.2">
      <c r="A195" s="65" t="s">
        <v>1609</v>
      </c>
    </row>
    <row r="196" spans="1:1" x14ac:dyDescent="0.2">
      <c r="A196" s="66" t="s">
        <v>1610</v>
      </c>
    </row>
    <row r="197" spans="1:1" x14ac:dyDescent="0.2">
      <c r="A197" s="65" t="s">
        <v>1611</v>
      </c>
    </row>
    <row r="198" spans="1:1" x14ac:dyDescent="0.2">
      <c r="A198" s="66" t="s">
        <v>1612</v>
      </c>
    </row>
    <row r="199" spans="1:1" x14ac:dyDescent="0.2">
      <c r="A199" s="65" t="s">
        <v>1613</v>
      </c>
    </row>
    <row r="200" spans="1:1" x14ac:dyDescent="0.2">
      <c r="A200" s="66" t="s">
        <v>1608</v>
      </c>
    </row>
    <row r="201" spans="1:1" x14ac:dyDescent="0.2">
      <c r="A201" s="65" t="s">
        <v>1614</v>
      </c>
    </row>
    <row r="202" spans="1:1" x14ac:dyDescent="0.2">
      <c r="A202" s="66" t="s">
        <v>1615</v>
      </c>
    </row>
    <row r="203" spans="1:1" x14ac:dyDescent="0.2">
      <c r="A203" s="65" t="s">
        <v>1616</v>
      </c>
    </row>
    <row r="204" spans="1:1" x14ac:dyDescent="0.2">
      <c r="A204" s="66" t="s">
        <v>1501</v>
      </c>
    </row>
    <row r="205" spans="1:1" x14ac:dyDescent="0.2">
      <c r="A205" s="65" t="s">
        <v>1617</v>
      </c>
    </row>
    <row r="206" spans="1:1" x14ac:dyDescent="0.2">
      <c r="A206" s="66" t="s">
        <v>1511</v>
      </c>
    </row>
    <row r="207" spans="1:1" x14ac:dyDescent="0.2">
      <c r="A207" s="65" t="s">
        <v>1618</v>
      </c>
    </row>
    <row r="208" spans="1:1" x14ac:dyDescent="0.2">
      <c r="A208" s="66" t="s">
        <v>1501</v>
      </c>
    </row>
    <row r="209" spans="1:1" x14ac:dyDescent="0.2">
      <c r="A209" s="65" t="s">
        <v>1619</v>
      </c>
    </row>
    <row r="210" spans="1:1" x14ac:dyDescent="0.2">
      <c r="A210" s="66" t="s">
        <v>1620</v>
      </c>
    </row>
    <row r="211" spans="1:1" x14ac:dyDescent="0.2">
      <c r="A211" s="65" t="s">
        <v>1621</v>
      </c>
    </row>
    <row r="212" spans="1:1" x14ac:dyDescent="0.2">
      <c r="A212" s="66" t="s">
        <v>1511</v>
      </c>
    </row>
    <row r="213" spans="1:1" x14ac:dyDescent="0.2">
      <c r="A213" s="65" t="s">
        <v>1622</v>
      </c>
    </row>
    <row r="214" spans="1:1" x14ac:dyDescent="0.2">
      <c r="A214" s="66" t="s">
        <v>1556</v>
      </c>
    </row>
    <row r="215" spans="1:1" x14ac:dyDescent="0.2">
      <c r="A215" s="65" t="s">
        <v>1623</v>
      </c>
    </row>
    <row r="216" spans="1:1" x14ac:dyDescent="0.2">
      <c r="A216" s="66" t="s">
        <v>1558</v>
      </c>
    </row>
    <row r="217" spans="1:1" x14ac:dyDescent="0.2">
      <c r="A217" s="65" t="s">
        <v>1624</v>
      </c>
    </row>
    <row r="218" spans="1:1" x14ac:dyDescent="0.2">
      <c r="A218" s="66" t="s">
        <v>1560</v>
      </c>
    </row>
    <row r="219" spans="1:1" x14ac:dyDescent="0.2">
      <c r="A219" s="65" t="s">
        <v>1625</v>
      </c>
    </row>
    <row r="220" spans="1:1" x14ac:dyDescent="0.2">
      <c r="A220" s="66" t="s">
        <v>1562</v>
      </c>
    </row>
    <row r="221" spans="1:1" x14ac:dyDescent="0.2">
      <c r="A221" s="65" t="s">
        <v>1626</v>
      </c>
    </row>
    <row r="222" spans="1:1" x14ac:dyDescent="0.2">
      <c r="A222" s="66" t="s">
        <v>1556</v>
      </c>
    </row>
    <row r="223" spans="1:1" x14ac:dyDescent="0.2">
      <c r="A223" s="65" t="s">
        <v>1627</v>
      </c>
    </row>
    <row r="224" spans="1:1" x14ac:dyDescent="0.2">
      <c r="A224" s="66" t="s">
        <v>1558</v>
      </c>
    </row>
    <row r="225" spans="1:1" x14ac:dyDescent="0.2">
      <c r="A225" s="65" t="s">
        <v>1628</v>
      </c>
    </row>
    <row r="226" spans="1:1" x14ac:dyDescent="0.2">
      <c r="A226" s="66" t="s">
        <v>1560</v>
      </c>
    </row>
    <row r="227" spans="1:1" x14ac:dyDescent="0.2">
      <c r="A227" s="65" t="s">
        <v>1629</v>
      </c>
    </row>
    <row r="228" spans="1:1" x14ac:dyDescent="0.2">
      <c r="A228" s="66" t="s">
        <v>1562</v>
      </c>
    </row>
    <row r="229" spans="1:1" x14ac:dyDescent="0.2">
      <c r="A229" s="65" t="s">
        <v>1630</v>
      </c>
    </row>
    <row r="230" spans="1:1" x14ac:dyDescent="0.2">
      <c r="A230" s="66" t="s">
        <v>1631</v>
      </c>
    </row>
    <row r="231" spans="1:1" x14ac:dyDescent="0.2">
      <c r="A231" s="65" t="s">
        <v>1632</v>
      </c>
    </row>
    <row r="232" spans="1:1" x14ac:dyDescent="0.2">
      <c r="A232" s="66" t="s">
        <v>1633</v>
      </c>
    </row>
    <row r="233" spans="1:1" x14ac:dyDescent="0.2">
      <c r="A233" s="65" t="s">
        <v>1634</v>
      </c>
    </row>
    <row r="234" spans="1:1" x14ac:dyDescent="0.2">
      <c r="A234" s="66" t="s">
        <v>1635</v>
      </c>
    </row>
    <row r="235" spans="1:1" x14ac:dyDescent="0.2">
      <c r="A235" s="65" t="s">
        <v>1636</v>
      </c>
    </row>
    <row r="236" spans="1:1" x14ac:dyDescent="0.2">
      <c r="A236" s="66" t="s">
        <v>1631</v>
      </c>
    </row>
    <row r="237" spans="1:1" x14ac:dyDescent="0.2">
      <c r="A237" s="65" t="s">
        <v>1637</v>
      </c>
    </row>
    <row r="238" spans="1:1" x14ac:dyDescent="0.2">
      <c r="A238" s="66" t="s">
        <v>1638</v>
      </c>
    </row>
    <row r="239" spans="1:1" x14ac:dyDescent="0.2">
      <c r="A239" s="65" t="s">
        <v>1639</v>
      </c>
    </row>
    <row r="240" spans="1:1" x14ac:dyDescent="0.2">
      <c r="A240" s="66" t="s">
        <v>1633</v>
      </c>
    </row>
    <row r="241" spans="1:1" x14ac:dyDescent="0.2">
      <c r="A241" s="66" t="s">
        <v>1635</v>
      </c>
    </row>
    <row r="242" spans="1:1" x14ac:dyDescent="0.2">
      <c r="A242" s="65" t="s">
        <v>1640</v>
      </c>
    </row>
    <row r="243" spans="1:1" x14ac:dyDescent="0.2">
      <c r="A243" s="66" t="s">
        <v>1631</v>
      </c>
    </row>
    <row r="244" spans="1:1" x14ac:dyDescent="0.2">
      <c r="A244" s="65" t="s">
        <v>1641</v>
      </c>
    </row>
    <row r="245" spans="1:1" x14ac:dyDescent="0.2">
      <c r="A245" s="66" t="s">
        <v>1642</v>
      </c>
    </row>
    <row r="246" spans="1:1" x14ac:dyDescent="0.2">
      <c r="A246" s="65" t="s">
        <v>1643</v>
      </c>
    </row>
    <row r="247" spans="1:1" x14ac:dyDescent="0.2">
      <c r="A247" s="66" t="s">
        <v>1644</v>
      </c>
    </row>
    <row r="248" spans="1:1" x14ac:dyDescent="0.2">
      <c r="A248" s="65" t="s">
        <v>1645</v>
      </c>
    </row>
    <row r="249" spans="1:1" x14ac:dyDescent="0.2">
      <c r="A249" s="66" t="s">
        <v>1646</v>
      </c>
    </row>
    <row r="250" spans="1:1" x14ac:dyDescent="0.2">
      <c r="A250" s="65" t="s">
        <v>1647</v>
      </c>
    </row>
    <row r="251" spans="1:1" x14ac:dyDescent="0.2">
      <c r="A251" s="66" t="s">
        <v>1648</v>
      </c>
    </row>
    <row r="252" spans="1:1" x14ac:dyDescent="0.2">
      <c r="A252" s="65" t="s">
        <v>1649</v>
      </c>
    </row>
    <row r="253" spans="1:1" x14ac:dyDescent="0.2">
      <c r="A253" s="66" t="s">
        <v>1650</v>
      </c>
    </row>
    <row r="254" spans="1:1" x14ac:dyDescent="0.2">
      <c r="A254" s="65" t="s">
        <v>1651</v>
      </c>
    </row>
    <row r="255" spans="1:1" x14ac:dyDescent="0.2">
      <c r="A255" s="66" t="s">
        <v>1646</v>
      </c>
    </row>
    <row r="256" spans="1:1" x14ac:dyDescent="0.2">
      <c r="A256" s="65" t="s">
        <v>1652</v>
      </c>
    </row>
    <row r="257" spans="1:1" x14ac:dyDescent="0.2">
      <c r="A257" s="66" t="s">
        <v>1653</v>
      </c>
    </row>
    <row r="258" spans="1:1" x14ac:dyDescent="0.2">
      <c r="A258" s="65" t="s">
        <v>1654</v>
      </c>
    </row>
    <row r="259" spans="1:1" x14ac:dyDescent="0.2">
      <c r="A259" s="66" t="s">
        <v>1655</v>
      </c>
    </row>
    <row r="260" spans="1:1" x14ac:dyDescent="0.2">
      <c r="A260" s="65" t="s">
        <v>1656</v>
      </c>
    </row>
    <row r="261" spans="1:1" x14ac:dyDescent="0.2">
      <c r="A261" s="66" t="s">
        <v>1503</v>
      </c>
    </row>
    <row r="262" spans="1:1" x14ac:dyDescent="0.2">
      <c r="A262" s="65" t="s">
        <v>1657</v>
      </c>
    </row>
    <row r="263" spans="1:1" x14ac:dyDescent="0.2">
      <c r="A263" s="66" t="s">
        <v>1658</v>
      </c>
    </row>
    <row r="264" spans="1:1" x14ac:dyDescent="0.2">
      <c r="A264" s="65" t="s">
        <v>1659</v>
      </c>
    </row>
    <row r="265" spans="1:1" x14ac:dyDescent="0.2">
      <c r="A265" s="66" t="s">
        <v>1655</v>
      </c>
    </row>
    <row r="266" spans="1:1" x14ac:dyDescent="0.2">
      <c r="A266" s="65" t="s">
        <v>1660</v>
      </c>
    </row>
    <row r="267" spans="1:1" x14ac:dyDescent="0.2">
      <c r="A267" s="66" t="s">
        <v>1503</v>
      </c>
    </row>
    <row r="268" spans="1:1" x14ac:dyDescent="0.2">
      <c r="A268" s="65" t="s">
        <v>1661</v>
      </c>
    </row>
    <row r="269" spans="1:1" x14ac:dyDescent="0.2">
      <c r="A269" s="66" t="s">
        <v>1662</v>
      </c>
    </row>
    <row r="270" spans="1:1" x14ac:dyDescent="0.2">
      <c r="A270" s="65" t="s">
        <v>1663</v>
      </c>
    </row>
    <row r="271" spans="1:1" x14ac:dyDescent="0.2">
      <c r="A271" s="66" t="s">
        <v>1658</v>
      </c>
    </row>
    <row r="272" spans="1:1" x14ac:dyDescent="0.2">
      <c r="A272" s="65" t="s">
        <v>1664</v>
      </c>
    </row>
    <row r="273" spans="1:1" x14ac:dyDescent="0.2">
      <c r="A273" s="66" t="s">
        <v>1655</v>
      </c>
    </row>
    <row r="274" spans="1:1" x14ac:dyDescent="0.2">
      <c r="A274" s="65" t="s">
        <v>1665</v>
      </c>
    </row>
    <row r="275" spans="1:1" x14ac:dyDescent="0.2">
      <c r="A275" s="66" t="s">
        <v>1503</v>
      </c>
    </row>
    <row r="276" spans="1:1" x14ac:dyDescent="0.2">
      <c r="A276" s="65" t="s">
        <v>1666</v>
      </c>
    </row>
    <row r="277" spans="1:1" x14ac:dyDescent="0.2">
      <c r="A277" s="66" t="s">
        <v>1658</v>
      </c>
    </row>
    <row r="278" spans="1:1" x14ac:dyDescent="0.2">
      <c r="A278" s="65" t="s">
        <v>1667</v>
      </c>
    </row>
    <row r="279" spans="1:1" x14ac:dyDescent="0.2">
      <c r="A279" s="66" t="s">
        <v>1655</v>
      </c>
    </row>
    <row r="280" spans="1:1" x14ac:dyDescent="0.2">
      <c r="A280" s="65" t="s">
        <v>1668</v>
      </c>
    </row>
    <row r="281" spans="1:1" x14ac:dyDescent="0.2">
      <c r="A281" s="66" t="s">
        <v>1669</v>
      </c>
    </row>
    <row r="282" spans="1:1" x14ac:dyDescent="0.2">
      <c r="A282" s="65" t="s">
        <v>1670</v>
      </c>
    </row>
    <row r="283" spans="1:1" x14ac:dyDescent="0.2">
      <c r="A283" s="66" t="s">
        <v>1671</v>
      </c>
    </row>
    <row r="284" spans="1:1" x14ac:dyDescent="0.2">
      <c r="A284" s="65" t="s">
        <v>1672</v>
      </c>
    </row>
    <row r="285" spans="1:1" x14ac:dyDescent="0.2">
      <c r="A285" s="66" t="s">
        <v>1655</v>
      </c>
    </row>
    <row r="286" spans="1:1" x14ac:dyDescent="0.2">
      <c r="A286" s="65" t="s">
        <v>1673</v>
      </c>
    </row>
    <row r="287" spans="1:1" x14ac:dyDescent="0.2">
      <c r="A287" s="66" t="s">
        <v>1674</v>
      </c>
    </row>
    <row r="288" spans="1:1" x14ac:dyDescent="0.2">
      <c r="A288" s="65" t="s">
        <v>1675</v>
      </c>
    </row>
    <row r="289" spans="1:1" x14ac:dyDescent="0.2">
      <c r="A289" s="66" t="s">
        <v>1655</v>
      </c>
    </row>
    <row r="290" spans="1:1" x14ac:dyDescent="0.2">
      <c r="A290" s="65" t="s">
        <v>1676</v>
      </c>
    </row>
    <row r="291" spans="1:1" x14ac:dyDescent="0.2">
      <c r="A291" s="66" t="s">
        <v>1677</v>
      </c>
    </row>
    <row r="292" spans="1:1" x14ac:dyDescent="0.2">
      <c r="A292" s="65" t="s">
        <v>1678</v>
      </c>
    </row>
    <row r="293" spans="1:1" x14ac:dyDescent="0.2">
      <c r="A293" s="66" t="s">
        <v>1679</v>
      </c>
    </row>
    <row r="294" spans="1:1" x14ac:dyDescent="0.2">
      <c r="A294" s="65" t="s">
        <v>1680</v>
      </c>
    </row>
    <row r="295" spans="1:1" x14ac:dyDescent="0.2">
      <c r="A295" s="66" t="s">
        <v>1681</v>
      </c>
    </row>
    <row r="296" spans="1:1" x14ac:dyDescent="0.2">
      <c r="A296" s="65" t="s">
        <v>1682</v>
      </c>
    </row>
    <row r="297" spans="1:1" x14ac:dyDescent="0.2">
      <c r="A297" s="66" t="s">
        <v>1655</v>
      </c>
    </row>
    <row r="298" spans="1:1" x14ac:dyDescent="0.2">
      <c r="A298" s="65" t="s">
        <v>1683</v>
      </c>
    </row>
    <row r="299" spans="1:1" x14ac:dyDescent="0.2">
      <c r="A299" s="66" t="s">
        <v>1684</v>
      </c>
    </row>
    <row r="300" spans="1:1" x14ac:dyDescent="0.2">
      <c r="A300" s="65" t="s">
        <v>1685</v>
      </c>
    </row>
    <row r="301" spans="1:1" x14ac:dyDescent="0.2">
      <c r="A301" s="66" t="s">
        <v>1655</v>
      </c>
    </row>
    <row r="302" spans="1:1" x14ac:dyDescent="0.2">
      <c r="A302" s="65" t="s">
        <v>1686</v>
      </c>
    </row>
    <row r="303" spans="1:1" x14ac:dyDescent="0.2">
      <c r="A303" s="66" t="s">
        <v>1648</v>
      </c>
    </row>
    <row r="304" spans="1:1" x14ac:dyDescent="0.2">
      <c r="A304" s="65" t="s">
        <v>1687</v>
      </c>
    </row>
    <row r="305" spans="1:1" x14ac:dyDescent="0.2">
      <c r="A305" s="66" t="s">
        <v>1688</v>
      </c>
    </row>
    <row r="306" spans="1:1" x14ac:dyDescent="0.2">
      <c r="A306" s="65" t="s">
        <v>1689</v>
      </c>
    </row>
    <row r="307" spans="1:1" x14ac:dyDescent="0.2">
      <c r="A307" s="66" t="s">
        <v>1655</v>
      </c>
    </row>
    <row r="308" spans="1:1" x14ac:dyDescent="0.2">
      <c r="A308" s="65" t="s">
        <v>1690</v>
      </c>
    </row>
    <row r="309" spans="1:1" x14ac:dyDescent="0.2">
      <c r="A309" s="66" t="s">
        <v>1669</v>
      </c>
    </row>
    <row r="310" spans="1:1" x14ac:dyDescent="0.2">
      <c r="A310" s="66" t="s">
        <v>1671</v>
      </c>
    </row>
    <row r="311" spans="1:1" x14ac:dyDescent="0.2">
      <c r="A311" s="65" t="s">
        <v>1691</v>
      </c>
    </row>
    <row r="312" spans="1:1" x14ac:dyDescent="0.2">
      <c r="A312" s="66" t="s">
        <v>1655</v>
      </c>
    </row>
    <row r="313" spans="1:1" x14ac:dyDescent="0.2">
      <c r="A313" s="65" t="s">
        <v>1692</v>
      </c>
    </row>
    <row r="314" spans="1:1" x14ac:dyDescent="0.2">
      <c r="A314" s="66" t="s">
        <v>1693</v>
      </c>
    </row>
    <row r="315" spans="1:1" x14ac:dyDescent="0.2">
      <c r="A315" s="65" t="s">
        <v>1694</v>
      </c>
    </row>
    <row r="316" spans="1:1" x14ac:dyDescent="0.2">
      <c r="A316" s="66" t="s">
        <v>1655</v>
      </c>
    </row>
    <row r="317" spans="1:1" x14ac:dyDescent="0.2">
      <c r="A317" s="65" t="s">
        <v>1695</v>
      </c>
    </row>
    <row r="318" spans="1:1" x14ac:dyDescent="0.2">
      <c r="A318" s="66" t="s">
        <v>1696</v>
      </c>
    </row>
    <row r="319" spans="1:1" x14ac:dyDescent="0.2">
      <c r="A319" s="65" t="s">
        <v>1697</v>
      </c>
    </row>
    <row r="320" spans="1:1" x14ac:dyDescent="0.2">
      <c r="A320" s="66" t="s">
        <v>1698</v>
      </c>
    </row>
    <row r="321" spans="1:1" x14ac:dyDescent="0.2">
      <c r="A321" s="65" t="s">
        <v>1699</v>
      </c>
    </row>
    <row r="322" spans="1:1" x14ac:dyDescent="0.2">
      <c r="A322" s="66" t="s">
        <v>1655</v>
      </c>
    </row>
    <row r="323" spans="1:1" x14ac:dyDescent="0.2">
      <c r="A323" s="65" t="s">
        <v>1700</v>
      </c>
    </row>
    <row r="324" spans="1:1" x14ac:dyDescent="0.2">
      <c r="A324" s="66" t="s">
        <v>1503</v>
      </c>
    </row>
    <row r="325" spans="1:1" x14ac:dyDescent="0.2">
      <c r="A325" s="65" t="s">
        <v>1701</v>
      </c>
    </row>
    <row r="326" spans="1:1" x14ac:dyDescent="0.2">
      <c r="A326" s="66" t="s">
        <v>1662</v>
      </c>
    </row>
    <row r="327" spans="1:1" x14ac:dyDescent="0.2">
      <c r="A327" s="65" t="s">
        <v>1702</v>
      </c>
    </row>
    <row r="328" spans="1:1" x14ac:dyDescent="0.2">
      <c r="A328" s="66" t="s">
        <v>1658</v>
      </c>
    </row>
    <row r="329" spans="1:1" x14ac:dyDescent="0.2">
      <c r="A329" s="65" t="s">
        <v>1703</v>
      </c>
    </row>
    <row r="330" spans="1:1" x14ac:dyDescent="0.2">
      <c r="A330" s="66" t="s">
        <v>1655</v>
      </c>
    </row>
    <row r="331" spans="1:1" x14ac:dyDescent="0.2">
      <c r="A331" s="65" t="s">
        <v>1704</v>
      </c>
    </row>
    <row r="332" spans="1:1" x14ac:dyDescent="0.2">
      <c r="A332" s="66" t="s">
        <v>1705</v>
      </c>
    </row>
    <row r="333" spans="1:1" x14ac:dyDescent="0.2">
      <c r="A333" s="65" t="s">
        <v>1706</v>
      </c>
    </row>
    <row r="334" spans="1:1" x14ac:dyDescent="0.2">
      <c r="A334" s="66" t="s">
        <v>1707</v>
      </c>
    </row>
    <row r="335" spans="1:1" x14ac:dyDescent="0.2">
      <c r="A335" s="65" t="s">
        <v>1708</v>
      </c>
    </row>
    <row r="336" spans="1:1" x14ac:dyDescent="0.2">
      <c r="A336" s="66" t="s">
        <v>1709</v>
      </c>
    </row>
    <row r="337" spans="1:1" x14ac:dyDescent="0.2">
      <c r="A337" s="65" t="s">
        <v>1710</v>
      </c>
    </row>
    <row r="338" spans="1:1" x14ac:dyDescent="0.2">
      <c r="A338" s="66" t="s">
        <v>1655</v>
      </c>
    </row>
    <row r="339" spans="1:1" x14ac:dyDescent="0.2">
      <c r="A339" s="65" t="s">
        <v>1711</v>
      </c>
    </row>
    <row r="340" spans="1:1" x14ac:dyDescent="0.2">
      <c r="A340" s="66" t="s">
        <v>1705</v>
      </c>
    </row>
    <row r="341" spans="1:1" x14ac:dyDescent="0.2">
      <c r="A341" s="65" t="s">
        <v>1712</v>
      </c>
    </row>
    <row r="342" spans="1:1" x14ac:dyDescent="0.2">
      <c r="A342" s="66" t="s">
        <v>1658</v>
      </c>
    </row>
    <row r="343" spans="1:1" x14ac:dyDescent="0.2">
      <c r="A343" s="65" t="s">
        <v>1713</v>
      </c>
    </row>
    <row r="344" spans="1:1" x14ac:dyDescent="0.2">
      <c r="A344" s="66" t="s">
        <v>1655</v>
      </c>
    </row>
    <row r="345" spans="1:1" x14ac:dyDescent="0.2">
      <c r="A345" s="65" t="s">
        <v>1714</v>
      </c>
    </row>
    <row r="346" spans="1:1" x14ac:dyDescent="0.2">
      <c r="A346" s="66" t="s">
        <v>1503</v>
      </c>
    </row>
    <row r="347" spans="1:1" x14ac:dyDescent="0.2">
      <c r="A347" s="65" t="s">
        <v>1715</v>
      </c>
    </row>
    <row r="348" spans="1:1" x14ac:dyDescent="0.2">
      <c r="A348" s="66" t="s">
        <v>1716</v>
      </c>
    </row>
    <row r="349" spans="1:1" x14ac:dyDescent="0.2">
      <c r="A349" s="65" t="s">
        <v>1717</v>
      </c>
    </row>
    <row r="350" spans="1:1" x14ac:dyDescent="0.2">
      <c r="A350" s="66" t="s">
        <v>1718</v>
      </c>
    </row>
    <row r="351" spans="1:1" x14ac:dyDescent="0.2">
      <c r="A351" s="65" t="s">
        <v>1719</v>
      </c>
    </row>
    <row r="352" spans="1:1" x14ac:dyDescent="0.2">
      <c r="A352" s="66" t="s">
        <v>1720</v>
      </c>
    </row>
    <row r="353" spans="1:1" x14ac:dyDescent="0.2">
      <c r="A353" s="65" t="s">
        <v>1721</v>
      </c>
    </row>
    <row r="354" spans="1:1" x14ac:dyDescent="0.2">
      <c r="A354" s="66" t="s">
        <v>1722</v>
      </c>
    </row>
    <row r="355" spans="1:1" x14ac:dyDescent="0.2">
      <c r="A355" s="65" t="s">
        <v>1723</v>
      </c>
    </row>
    <row r="356" spans="1:1" x14ac:dyDescent="0.2">
      <c r="A356" s="66" t="s">
        <v>1724</v>
      </c>
    </row>
    <row r="357" spans="1:1" x14ac:dyDescent="0.2">
      <c r="A357" s="65" t="s">
        <v>1725</v>
      </c>
    </row>
    <row r="358" spans="1:1" x14ac:dyDescent="0.2">
      <c r="A358" s="66" t="s">
        <v>1726</v>
      </c>
    </row>
    <row r="359" spans="1:1" x14ac:dyDescent="0.2">
      <c r="A359" s="66" t="s">
        <v>1727</v>
      </c>
    </row>
    <row r="360" spans="1:1" x14ac:dyDescent="0.2">
      <c r="A360" s="65" t="s">
        <v>1728</v>
      </c>
    </row>
    <row r="361" spans="1:1" x14ac:dyDescent="0.2">
      <c r="A361" s="66" t="s">
        <v>1729</v>
      </c>
    </row>
    <row r="362" spans="1:1" x14ac:dyDescent="0.2">
      <c r="A362" s="65" t="s">
        <v>1730</v>
      </c>
    </row>
    <row r="363" spans="1:1" x14ac:dyDescent="0.2">
      <c r="A363" s="66" t="s">
        <v>1722</v>
      </c>
    </row>
    <row r="364" spans="1:1" x14ac:dyDescent="0.2">
      <c r="A364" s="65" t="s">
        <v>1731</v>
      </c>
    </row>
    <row r="365" spans="1:1" x14ac:dyDescent="0.2">
      <c r="A365" s="66" t="s">
        <v>1726</v>
      </c>
    </row>
    <row r="366" spans="1:1" x14ac:dyDescent="0.2">
      <c r="A366" s="65" t="s">
        <v>1732</v>
      </c>
    </row>
    <row r="367" spans="1:1" x14ac:dyDescent="0.2">
      <c r="A367" s="66" t="s">
        <v>1733</v>
      </c>
    </row>
    <row r="368" spans="1:1" x14ac:dyDescent="0.2">
      <c r="A368" s="65" t="s">
        <v>1734</v>
      </c>
    </row>
    <row r="369" spans="1:1" x14ac:dyDescent="0.2">
      <c r="A369" s="66" t="s">
        <v>1735</v>
      </c>
    </row>
    <row r="370" spans="1:1" x14ac:dyDescent="0.2">
      <c r="A370" s="65" t="s">
        <v>1736</v>
      </c>
    </row>
    <row r="371" spans="1:1" x14ac:dyDescent="0.2">
      <c r="A371" s="66" t="s">
        <v>1722</v>
      </c>
    </row>
    <row r="372" spans="1:1" x14ac:dyDescent="0.2">
      <c r="A372" s="65" t="s">
        <v>1737</v>
      </c>
    </row>
    <row r="373" spans="1:1" x14ac:dyDescent="0.2">
      <c r="A373" s="66" t="s">
        <v>1726</v>
      </c>
    </row>
    <row r="374" spans="1:1" x14ac:dyDescent="0.2">
      <c r="A374" s="65" t="s">
        <v>1738</v>
      </c>
    </row>
    <row r="375" spans="1:1" x14ac:dyDescent="0.2">
      <c r="A375" s="66" t="s">
        <v>1739</v>
      </c>
    </row>
    <row r="376" spans="1:1" x14ac:dyDescent="0.2">
      <c r="A376" s="65" t="s">
        <v>1740</v>
      </c>
    </row>
    <row r="377" spans="1:1" x14ac:dyDescent="0.2">
      <c r="A377" s="66" t="s">
        <v>1741</v>
      </c>
    </row>
    <row r="378" spans="1:1" x14ac:dyDescent="0.2">
      <c r="A378" s="65" t="s">
        <v>1742</v>
      </c>
    </row>
    <row r="379" spans="1:1" x14ac:dyDescent="0.2">
      <c r="A379" s="66" t="s">
        <v>1743</v>
      </c>
    </row>
    <row r="380" spans="1:1" x14ac:dyDescent="0.2">
      <c r="A380" s="65" t="s">
        <v>1744</v>
      </c>
    </row>
    <row r="381" spans="1:1" x14ac:dyDescent="0.2">
      <c r="A381" s="66" t="s">
        <v>1745</v>
      </c>
    </row>
    <row r="382" spans="1:1" x14ac:dyDescent="0.2">
      <c r="A382" s="65" t="s">
        <v>1746</v>
      </c>
    </row>
    <row r="383" spans="1:1" x14ac:dyDescent="0.2">
      <c r="A383" s="66" t="s">
        <v>1747</v>
      </c>
    </row>
    <row r="384" spans="1:1" x14ac:dyDescent="0.2">
      <c r="A384" s="65" t="s">
        <v>1748</v>
      </c>
    </row>
    <row r="385" spans="1:1" x14ac:dyDescent="0.2">
      <c r="A385" s="66" t="s">
        <v>1749</v>
      </c>
    </row>
    <row r="386" spans="1:1" x14ac:dyDescent="0.2">
      <c r="A386" s="65" t="s">
        <v>1750</v>
      </c>
    </row>
    <row r="387" spans="1:1" ht="30" x14ac:dyDescent="0.2">
      <c r="A387" s="66" t="s">
        <v>1751</v>
      </c>
    </row>
    <row r="388" spans="1:1" x14ac:dyDescent="0.2">
      <c r="A388" s="65" t="s">
        <v>1752</v>
      </c>
    </row>
    <row r="389" spans="1:1" x14ac:dyDescent="0.2">
      <c r="A389" s="66" t="s">
        <v>1753</v>
      </c>
    </row>
    <row r="390" spans="1:1" x14ac:dyDescent="0.2">
      <c r="A390" s="65" t="s">
        <v>1754</v>
      </c>
    </row>
    <row r="391" spans="1:1" x14ac:dyDescent="0.2">
      <c r="A391" s="66" t="s">
        <v>1755</v>
      </c>
    </row>
    <row r="392" spans="1:1" x14ac:dyDescent="0.2">
      <c r="A392" s="65" t="s">
        <v>1756</v>
      </c>
    </row>
    <row r="393" spans="1:1" x14ac:dyDescent="0.2">
      <c r="A393" s="66" t="s">
        <v>1757</v>
      </c>
    </row>
    <row r="394" spans="1:1" x14ac:dyDescent="0.2">
      <c r="A394" s="65" t="s">
        <v>1758</v>
      </c>
    </row>
    <row r="395" spans="1:1" x14ac:dyDescent="0.2">
      <c r="A395" s="66" t="s">
        <v>1759</v>
      </c>
    </row>
    <row r="396" spans="1:1" x14ac:dyDescent="0.2">
      <c r="A396" s="65" t="s">
        <v>1760</v>
      </c>
    </row>
    <row r="397" spans="1:1" x14ac:dyDescent="0.2">
      <c r="A397" s="66" t="s">
        <v>1761</v>
      </c>
    </row>
    <row r="398" spans="1:1" x14ac:dyDescent="0.2">
      <c r="A398" s="65" t="s">
        <v>1762</v>
      </c>
    </row>
    <row r="399" spans="1:1" x14ac:dyDescent="0.2">
      <c r="A399" s="66" t="s">
        <v>1763</v>
      </c>
    </row>
    <row r="400" spans="1:1" x14ac:dyDescent="0.2">
      <c r="A400" s="65" t="s">
        <v>1764</v>
      </c>
    </row>
    <row r="401" spans="1:1" x14ac:dyDescent="0.2">
      <c r="A401" s="66" t="s">
        <v>1749</v>
      </c>
    </row>
    <row r="402" spans="1:1" x14ac:dyDescent="0.2">
      <c r="A402" s="65" t="s">
        <v>1765</v>
      </c>
    </row>
    <row r="403" spans="1:1" x14ac:dyDescent="0.2">
      <c r="A403" s="66" t="s">
        <v>1766</v>
      </c>
    </row>
    <row r="404" spans="1:1" x14ac:dyDescent="0.2">
      <c r="A404" s="65" t="s">
        <v>1767</v>
      </c>
    </row>
    <row r="405" spans="1:1" x14ac:dyDescent="0.2">
      <c r="A405" s="66" t="s">
        <v>1768</v>
      </c>
    </row>
    <row r="406" spans="1:1" x14ac:dyDescent="0.2">
      <c r="A406" s="65" t="s">
        <v>1769</v>
      </c>
    </row>
    <row r="407" spans="1:1" x14ac:dyDescent="0.2">
      <c r="A407" s="66" t="s">
        <v>1770</v>
      </c>
    </row>
    <row r="408" spans="1:1" x14ac:dyDescent="0.2">
      <c r="A408" s="65" t="s">
        <v>1771</v>
      </c>
    </row>
    <row r="409" spans="1:1" x14ac:dyDescent="0.2">
      <c r="A409" s="66" t="s">
        <v>1772</v>
      </c>
    </row>
    <row r="410" spans="1:1" x14ac:dyDescent="0.2">
      <c r="A410" s="65" t="s">
        <v>1773</v>
      </c>
    </row>
    <row r="411" spans="1:1" x14ac:dyDescent="0.2">
      <c r="A411" s="66" t="s">
        <v>1774</v>
      </c>
    </row>
    <row r="412" spans="1:1" x14ac:dyDescent="0.2">
      <c r="A412" s="65" t="s">
        <v>1775</v>
      </c>
    </row>
    <row r="413" spans="1:1" x14ac:dyDescent="0.2">
      <c r="A413" s="66" t="s">
        <v>1776</v>
      </c>
    </row>
    <row r="414" spans="1:1" x14ac:dyDescent="0.2">
      <c r="A414" s="65" t="s">
        <v>1777</v>
      </c>
    </row>
    <row r="415" spans="1:1" x14ac:dyDescent="0.2">
      <c r="A415" s="66" t="s">
        <v>1778</v>
      </c>
    </row>
    <row r="416" spans="1:1" x14ac:dyDescent="0.2">
      <c r="A416" s="65" t="s">
        <v>1779</v>
      </c>
    </row>
    <row r="417" spans="1:1" x14ac:dyDescent="0.2">
      <c r="A417" s="66" t="s">
        <v>1780</v>
      </c>
    </row>
    <row r="418" spans="1:1" x14ac:dyDescent="0.2">
      <c r="A418" s="65" t="s">
        <v>1781</v>
      </c>
    </row>
    <row r="419" spans="1:1" x14ac:dyDescent="0.2">
      <c r="A419" s="66" t="s">
        <v>1782</v>
      </c>
    </row>
    <row r="420" spans="1:1" x14ac:dyDescent="0.2">
      <c r="A420" s="65" t="s">
        <v>1783</v>
      </c>
    </row>
    <row r="421" spans="1:1" x14ac:dyDescent="0.2">
      <c r="A421" s="66" t="s">
        <v>1778</v>
      </c>
    </row>
    <row r="422" spans="1:1" x14ac:dyDescent="0.2">
      <c r="A422" s="65" t="s">
        <v>1784</v>
      </c>
    </row>
    <row r="423" spans="1:1" x14ac:dyDescent="0.2">
      <c r="A423" s="66" t="s">
        <v>1785</v>
      </c>
    </row>
    <row r="424" spans="1:1" x14ac:dyDescent="0.2">
      <c r="A424" s="65" t="s">
        <v>1786</v>
      </c>
    </row>
    <row r="425" spans="1:1" x14ac:dyDescent="0.2">
      <c r="A425" s="66" t="s">
        <v>1787</v>
      </c>
    </row>
    <row r="426" spans="1:1" x14ac:dyDescent="0.2">
      <c r="A426" s="65" t="s">
        <v>1788</v>
      </c>
    </row>
    <row r="427" spans="1:1" x14ac:dyDescent="0.2">
      <c r="A427" s="66" t="s">
        <v>1774</v>
      </c>
    </row>
    <row r="428" spans="1:1" x14ac:dyDescent="0.2">
      <c r="A428" s="65" t="s">
        <v>1789</v>
      </c>
    </row>
    <row r="429" spans="1:1" x14ac:dyDescent="0.2">
      <c r="A429" s="66" t="s">
        <v>1776</v>
      </c>
    </row>
    <row r="430" spans="1:1" x14ac:dyDescent="0.2">
      <c r="A430" s="65" t="s">
        <v>1790</v>
      </c>
    </row>
    <row r="431" spans="1:1" x14ac:dyDescent="0.2">
      <c r="A431" s="66" t="s">
        <v>1791</v>
      </c>
    </row>
    <row r="432" spans="1:1" x14ac:dyDescent="0.2">
      <c r="A432" s="65" t="s">
        <v>1792</v>
      </c>
    </row>
    <row r="433" spans="1:1" x14ac:dyDescent="0.2">
      <c r="A433" s="66" t="s">
        <v>1793</v>
      </c>
    </row>
    <row r="434" spans="1:1" x14ac:dyDescent="0.2">
      <c r="A434" s="65" t="s">
        <v>1794</v>
      </c>
    </row>
    <row r="435" spans="1:1" x14ac:dyDescent="0.2">
      <c r="A435" s="66" t="s">
        <v>1795</v>
      </c>
    </row>
    <row r="436" spans="1:1" x14ac:dyDescent="0.2">
      <c r="A436" s="65" t="s">
        <v>1796</v>
      </c>
    </row>
    <row r="437" spans="1:1" x14ac:dyDescent="0.2">
      <c r="A437" s="66" t="s">
        <v>1797</v>
      </c>
    </row>
    <row r="438" spans="1:1" x14ac:dyDescent="0.2">
      <c r="A438" s="65" t="s">
        <v>1798</v>
      </c>
    </row>
    <row r="439" spans="1:1" x14ac:dyDescent="0.2">
      <c r="A439" s="66" t="s">
        <v>1763</v>
      </c>
    </row>
    <row r="440" spans="1:1" x14ac:dyDescent="0.2">
      <c r="A440" s="65" t="s">
        <v>1799</v>
      </c>
    </row>
    <row r="441" spans="1:1" x14ac:dyDescent="0.2">
      <c r="A441" s="66" t="s">
        <v>1747</v>
      </c>
    </row>
    <row r="442" spans="1:1" x14ac:dyDescent="0.2">
      <c r="A442" s="65" t="s">
        <v>1800</v>
      </c>
    </row>
    <row r="443" spans="1:1" x14ac:dyDescent="0.2">
      <c r="A443" s="66" t="s">
        <v>1749</v>
      </c>
    </row>
    <row r="444" spans="1:1" x14ac:dyDescent="0.2">
      <c r="A444" s="65" t="s">
        <v>1801</v>
      </c>
    </row>
    <row r="445" spans="1:1" x14ac:dyDescent="0.2">
      <c r="A445" s="66" t="s">
        <v>1802</v>
      </c>
    </row>
    <row r="446" spans="1:1" x14ac:dyDescent="0.2">
      <c r="A446" s="65" t="s">
        <v>1803</v>
      </c>
    </row>
    <row r="447" spans="1:1" x14ac:dyDescent="0.2">
      <c r="A447" s="66" t="s">
        <v>1804</v>
      </c>
    </row>
    <row r="448" spans="1:1" x14ac:dyDescent="0.2">
      <c r="A448" s="65" t="s">
        <v>1805</v>
      </c>
    </row>
    <row r="449" spans="1:1" x14ac:dyDescent="0.2">
      <c r="A449" s="66" t="s">
        <v>1802</v>
      </c>
    </row>
    <row r="450" spans="1:1" x14ac:dyDescent="0.2">
      <c r="A450" s="65" t="s">
        <v>1806</v>
      </c>
    </row>
    <row r="451" spans="1:1" x14ac:dyDescent="0.2">
      <c r="A451" s="66" t="s">
        <v>1807</v>
      </c>
    </row>
    <row r="452" spans="1:1" x14ac:dyDescent="0.2">
      <c r="A452" s="65" t="s">
        <v>1808</v>
      </c>
    </row>
    <row r="453" spans="1:1" x14ac:dyDescent="0.2">
      <c r="A453" s="66" t="s">
        <v>1802</v>
      </c>
    </row>
    <row r="454" spans="1:1" x14ac:dyDescent="0.2">
      <c r="A454" s="65" t="s">
        <v>1809</v>
      </c>
    </row>
    <row r="455" spans="1:1" x14ac:dyDescent="0.2">
      <c r="A455" s="66" t="s">
        <v>1810</v>
      </c>
    </row>
    <row r="456" spans="1:1" x14ac:dyDescent="0.2">
      <c r="A456" s="65" t="s">
        <v>1811</v>
      </c>
    </row>
    <row r="457" spans="1:1" x14ac:dyDescent="0.2">
      <c r="A457" s="66" t="s">
        <v>1812</v>
      </c>
    </row>
    <row r="458" spans="1:1" x14ac:dyDescent="0.2">
      <c r="A458" s="65" t="s">
        <v>1813</v>
      </c>
    </row>
    <row r="459" spans="1:1" x14ac:dyDescent="0.2">
      <c r="A459" s="66" t="s">
        <v>1814</v>
      </c>
    </row>
    <row r="460" spans="1:1" x14ac:dyDescent="0.2">
      <c r="A460" s="65" t="s">
        <v>1815</v>
      </c>
    </row>
    <row r="461" spans="1:1" x14ac:dyDescent="0.2">
      <c r="A461" s="66" t="s">
        <v>1816</v>
      </c>
    </row>
    <row r="462" spans="1:1" x14ac:dyDescent="0.2">
      <c r="A462" s="65" t="s">
        <v>1817</v>
      </c>
    </row>
    <row r="463" spans="1:1" x14ac:dyDescent="0.2">
      <c r="A463" s="66" t="s">
        <v>1818</v>
      </c>
    </row>
    <row r="464" spans="1:1" x14ac:dyDescent="0.2">
      <c r="A464" s="65" t="s">
        <v>1819</v>
      </c>
    </row>
    <row r="465" spans="1:1" x14ac:dyDescent="0.2">
      <c r="A465" s="66" t="s">
        <v>1820</v>
      </c>
    </row>
    <row r="466" spans="1:1" x14ac:dyDescent="0.2">
      <c r="A466" s="65" t="s">
        <v>1821</v>
      </c>
    </row>
    <row r="467" spans="1:1" x14ac:dyDescent="0.2">
      <c r="A467" s="66" t="s">
        <v>1822</v>
      </c>
    </row>
    <row r="468" spans="1:1" x14ac:dyDescent="0.2">
      <c r="A468" s="65" t="s">
        <v>1823</v>
      </c>
    </row>
    <row r="469" spans="1:1" x14ac:dyDescent="0.2">
      <c r="A469" s="66" t="s">
        <v>1824</v>
      </c>
    </row>
    <row r="470" spans="1:1" x14ac:dyDescent="0.2">
      <c r="A470" s="65" t="s">
        <v>1825</v>
      </c>
    </row>
    <row r="471" spans="1:1" x14ac:dyDescent="0.2">
      <c r="A471" s="66" t="s">
        <v>1826</v>
      </c>
    </row>
    <row r="472" spans="1:1" x14ac:dyDescent="0.2">
      <c r="A472" s="65" t="s">
        <v>1827</v>
      </c>
    </row>
    <row r="473" spans="1:1" x14ac:dyDescent="0.2">
      <c r="A473" s="66" t="s">
        <v>1828</v>
      </c>
    </row>
    <row r="474" spans="1:1" x14ac:dyDescent="0.2">
      <c r="A474" s="65" t="s">
        <v>1829</v>
      </c>
    </row>
    <row r="475" spans="1:1" x14ac:dyDescent="0.2">
      <c r="A475" s="66" t="s">
        <v>1830</v>
      </c>
    </row>
    <row r="476" spans="1:1" x14ac:dyDescent="0.2">
      <c r="A476" s="65" t="s">
        <v>1831</v>
      </c>
    </row>
    <row r="477" spans="1:1" x14ac:dyDescent="0.2">
      <c r="A477" s="66" t="s">
        <v>1832</v>
      </c>
    </row>
    <row r="478" spans="1:1" x14ac:dyDescent="0.2">
      <c r="A478" s="66" t="s">
        <v>1833</v>
      </c>
    </row>
    <row r="479" spans="1:1" x14ac:dyDescent="0.2">
      <c r="A479" s="65" t="s">
        <v>1834</v>
      </c>
    </row>
    <row r="480" spans="1:1" x14ac:dyDescent="0.2">
      <c r="A480" s="66" t="s">
        <v>1835</v>
      </c>
    </row>
    <row r="481" spans="1:1" x14ac:dyDescent="0.2">
      <c r="A481" s="65" t="s">
        <v>1836</v>
      </c>
    </row>
    <row r="482" spans="1:1" x14ac:dyDescent="0.2">
      <c r="A482" s="66" t="s">
        <v>1837</v>
      </c>
    </row>
    <row r="483" spans="1:1" x14ac:dyDescent="0.2">
      <c r="A483" s="65" t="s">
        <v>1838</v>
      </c>
    </row>
    <row r="484" spans="1:1" x14ac:dyDescent="0.2">
      <c r="A484" s="66" t="s">
        <v>1839</v>
      </c>
    </row>
    <row r="485" spans="1:1" x14ac:dyDescent="0.2">
      <c r="A485" s="65" t="s">
        <v>1840</v>
      </c>
    </row>
    <row r="486" spans="1:1" x14ac:dyDescent="0.2">
      <c r="A486" s="66" t="s">
        <v>1841</v>
      </c>
    </row>
    <row r="487" spans="1:1" x14ac:dyDescent="0.2">
      <c r="A487" s="65" t="s">
        <v>1842</v>
      </c>
    </row>
    <row r="488" spans="1:1" x14ac:dyDescent="0.2">
      <c r="A488" s="66" t="s">
        <v>1843</v>
      </c>
    </row>
    <row r="489" spans="1:1" x14ac:dyDescent="0.2">
      <c r="A489" s="65" t="s">
        <v>1844</v>
      </c>
    </row>
    <row r="490" spans="1:1" x14ac:dyDescent="0.2">
      <c r="A490" s="66" t="s">
        <v>1839</v>
      </c>
    </row>
    <row r="491" spans="1:1" x14ac:dyDescent="0.2">
      <c r="A491" s="65" t="s">
        <v>1845</v>
      </c>
    </row>
    <row r="492" spans="1:1" x14ac:dyDescent="0.2">
      <c r="A492" s="66" t="s">
        <v>1841</v>
      </c>
    </row>
    <row r="493" spans="1:1" x14ac:dyDescent="0.2">
      <c r="A493" s="65" t="s">
        <v>1846</v>
      </c>
    </row>
    <row r="494" spans="1:1" x14ac:dyDescent="0.2">
      <c r="A494" s="66" t="s">
        <v>1843</v>
      </c>
    </row>
    <row r="495" spans="1:1" x14ac:dyDescent="0.2">
      <c r="A495" s="65" t="s">
        <v>1847</v>
      </c>
    </row>
    <row r="496" spans="1:1" x14ac:dyDescent="0.2">
      <c r="A496" s="66" t="s">
        <v>1839</v>
      </c>
    </row>
    <row r="497" spans="1:1" x14ac:dyDescent="0.2">
      <c r="A497" s="65" t="s">
        <v>1848</v>
      </c>
    </row>
    <row r="498" spans="1:1" x14ac:dyDescent="0.2">
      <c r="A498" s="66" t="s">
        <v>1841</v>
      </c>
    </row>
    <row r="499" spans="1:1" x14ac:dyDescent="0.2">
      <c r="A499" s="65" t="s">
        <v>1849</v>
      </c>
    </row>
    <row r="500" spans="1:1" x14ac:dyDescent="0.2">
      <c r="A500" s="66" t="s">
        <v>1843</v>
      </c>
    </row>
    <row r="501" spans="1:1" x14ac:dyDescent="0.2">
      <c r="A501" s="65" t="s">
        <v>1850</v>
      </c>
    </row>
    <row r="502" spans="1:1" x14ac:dyDescent="0.2">
      <c r="A502" s="66" t="s">
        <v>1839</v>
      </c>
    </row>
    <row r="503" spans="1:1" x14ac:dyDescent="0.2">
      <c r="A503" s="65" t="s">
        <v>1851</v>
      </c>
    </row>
    <row r="504" spans="1:1" x14ac:dyDescent="0.2">
      <c r="A504" s="66" t="s">
        <v>1841</v>
      </c>
    </row>
    <row r="505" spans="1:1" x14ac:dyDescent="0.2">
      <c r="A505" s="65" t="s">
        <v>1852</v>
      </c>
    </row>
    <row r="506" spans="1:1" x14ac:dyDescent="0.2">
      <c r="A506" s="66" t="s">
        <v>1843</v>
      </c>
    </row>
    <row r="507" spans="1:1" x14ac:dyDescent="0.2">
      <c r="A507" s="65" t="s">
        <v>1853</v>
      </c>
    </row>
    <row r="508" spans="1:1" x14ac:dyDescent="0.2">
      <c r="A508" s="66" t="s">
        <v>1839</v>
      </c>
    </row>
    <row r="509" spans="1:1" x14ac:dyDescent="0.2">
      <c r="A509" s="65" t="s">
        <v>1854</v>
      </c>
    </row>
    <row r="510" spans="1:1" x14ac:dyDescent="0.2">
      <c r="A510" s="66" t="s">
        <v>1841</v>
      </c>
    </row>
    <row r="511" spans="1:1" x14ac:dyDescent="0.2">
      <c r="A511" s="65" t="s">
        <v>1855</v>
      </c>
    </row>
    <row r="512" spans="1:1" x14ac:dyDescent="0.2">
      <c r="A512" s="66" t="s">
        <v>1843</v>
      </c>
    </row>
    <row r="513" spans="1:1" x14ac:dyDescent="0.2">
      <c r="A513" s="65" t="s">
        <v>1856</v>
      </c>
    </row>
    <row r="514" spans="1:1" x14ac:dyDescent="0.2">
      <c r="A514" s="66" t="s">
        <v>1857</v>
      </c>
    </row>
    <row r="515" spans="1:1" x14ac:dyDescent="0.2">
      <c r="A515" s="65" t="s">
        <v>1858</v>
      </c>
    </row>
    <row r="516" spans="1:1" x14ac:dyDescent="0.2">
      <c r="A516" s="66" t="s">
        <v>1841</v>
      </c>
    </row>
    <row r="517" spans="1:1" x14ac:dyDescent="0.2">
      <c r="A517" s="65" t="s">
        <v>1859</v>
      </c>
    </row>
    <row r="518" spans="1:1" x14ac:dyDescent="0.2">
      <c r="A518" s="66" t="s">
        <v>1860</v>
      </c>
    </row>
    <row r="519" spans="1:1" x14ac:dyDescent="0.2">
      <c r="A519" s="65" t="s">
        <v>1861</v>
      </c>
    </row>
    <row r="520" spans="1:1" x14ac:dyDescent="0.2">
      <c r="A520" s="66" t="s">
        <v>1862</v>
      </c>
    </row>
    <row r="521" spans="1:1" x14ac:dyDescent="0.2">
      <c r="A521" s="65" t="s">
        <v>1863</v>
      </c>
    </row>
    <row r="522" spans="1:1" x14ac:dyDescent="0.2">
      <c r="A522" s="66" t="s">
        <v>1864</v>
      </c>
    </row>
    <row r="523" spans="1:1" x14ac:dyDescent="0.2">
      <c r="A523" s="65" t="s">
        <v>1865</v>
      </c>
    </row>
    <row r="524" spans="1:1" x14ac:dyDescent="0.2">
      <c r="A524" s="66" t="s">
        <v>1866</v>
      </c>
    </row>
    <row r="525" spans="1:1" x14ac:dyDescent="0.2">
      <c r="A525" s="65" t="s">
        <v>1867</v>
      </c>
    </row>
    <row r="526" spans="1:1" x14ac:dyDescent="0.2">
      <c r="A526" s="66" t="s">
        <v>1868</v>
      </c>
    </row>
    <row r="527" spans="1:1" x14ac:dyDescent="0.2">
      <c r="A527" s="65" t="s">
        <v>1869</v>
      </c>
    </row>
    <row r="528" spans="1:1" x14ac:dyDescent="0.2">
      <c r="A528" s="66" t="s">
        <v>1870</v>
      </c>
    </row>
    <row r="529" spans="1:1" x14ac:dyDescent="0.2">
      <c r="A529" s="65" t="s">
        <v>1871</v>
      </c>
    </row>
    <row r="530" spans="1:1" x14ac:dyDescent="0.2">
      <c r="A530" s="66" t="s">
        <v>1872</v>
      </c>
    </row>
    <row r="531" spans="1:1" x14ac:dyDescent="0.2">
      <c r="A531" s="65" t="s">
        <v>1873</v>
      </c>
    </row>
    <row r="532" spans="1:1" x14ac:dyDescent="0.2">
      <c r="A532" s="66" t="s">
        <v>1874</v>
      </c>
    </row>
    <row r="533" spans="1:1" x14ac:dyDescent="0.2">
      <c r="A533" s="65" t="s">
        <v>1875</v>
      </c>
    </row>
    <row r="534" spans="1:1" x14ac:dyDescent="0.2">
      <c r="A534" s="66" t="s">
        <v>1868</v>
      </c>
    </row>
    <row r="535" spans="1:1" x14ac:dyDescent="0.2">
      <c r="A535" s="65" t="s">
        <v>1876</v>
      </c>
    </row>
    <row r="536" spans="1:1" x14ac:dyDescent="0.2">
      <c r="A536" s="66" t="s">
        <v>1877</v>
      </c>
    </row>
    <row r="537" spans="1:1" x14ac:dyDescent="0.2">
      <c r="A537" s="65" t="s">
        <v>1878</v>
      </c>
    </row>
    <row r="538" spans="1:1" x14ac:dyDescent="0.2">
      <c r="A538" s="66" t="s">
        <v>1879</v>
      </c>
    </row>
    <row r="539" spans="1:1" x14ac:dyDescent="0.2">
      <c r="A539" s="65" t="s">
        <v>1880</v>
      </c>
    </row>
    <row r="540" spans="1:1" x14ac:dyDescent="0.2">
      <c r="A540" s="66" t="s">
        <v>1881</v>
      </c>
    </row>
    <row r="541" spans="1:1" x14ac:dyDescent="0.2">
      <c r="A541" s="65" t="s">
        <v>1882</v>
      </c>
    </row>
    <row r="542" spans="1:1" x14ac:dyDescent="0.2">
      <c r="A542" s="66" t="s">
        <v>1883</v>
      </c>
    </row>
    <row r="543" spans="1:1" x14ac:dyDescent="0.2">
      <c r="A543" s="66" t="s">
        <v>1884</v>
      </c>
    </row>
    <row r="544" spans="1:1" x14ac:dyDescent="0.2">
      <c r="A544" s="65" t="s">
        <v>1885</v>
      </c>
    </row>
    <row r="545" spans="1:1" x14ac:dyDescent="0.2">
      <c r="A545" s="66" t="s">
        <v>1886</v>
      </c>
    </row>
    <row r="546" spans="1:1" x14ac:dyDescent="0.2">
      <c r="A546" s="65" t="s">
        <v>1887</v>
      </c>
    </row>
    <row r="547" spans="1:1" x14ac:dyDescent="0.2">
      <c r="A547" s="66" t="s">
        <v>1883</v>
      </c>
    </row>
    <row r="548" spans="1:1" x14ac:dyDescent="0.2">
      <c r="A548" s="65" t="s">
        <v>1888</v>
      </c>
    </row>
    <row r="549" spans="1:1" x14ac:dyDescent="0.2">
      <c r="A549" s="66" t="s">
        <v>1884</v>
      </c>
    </row>
    <row r="550" spans="1:1" x14ac:dyDescent="0.2">
      <c r="A550" s="65" t="s">
        <v>1889</v>
      </c>
    </row>
    <row r="551" spans="1:1" x14ac:dyDescent="0.2">
      <c r="A551" s="66" t="s">
        <v>1890</v>
      </c>
    </row>
    <row r="552" spans="1:1" x14ac:dyDescent="0.2">
      <c r="A552" s="65" t="s">
        <v>1891</v>
      </c>
    </row>
    <row r="553" spans="1:1" x14ac:dyDescent="0.2">
      <c r="A553" s="66" t="s">
        <v>1892</v>
      </c>
    </row>
    <row r="554" spans="1:1" x14ac:dyDescent="0.2">
      <c r="A554" s="65" t="s">
        <v>1893</v>
      </c>
    </row>
    <row r="555" spans="1:1" x14ac:dyDescent="0.2">
      <c r="A555" s="66" t="s">
        <v>1894</v>
      </c>
    </row>
    <row r="556" spans="1:1" x14ac:dyDescent="0.2">
      <c r="A556" s="65" t="s">
        <v>1895</v>
      </c>
    </row>
    <row r="557" spans="1:1" x14ac:dyDescent="0.2">
      <c r="A557" s="66" t="s">
        <v>1896</v>
      </c>
    </row>
    <row r="558" spans="1:1" x14ac:dyDescent="0.2">
      <c r="A558" s="65" t="s">
        <v>1897</v>
      </c>
    </row>
    <row r="559" spans="1:1" x14ac:dyDescent="0.2">
      <c r="A559" s="66" t="s">
        <v>1898</v>
      </c>
    </row>
    <row r="560" spans="1:1" x14ac:dyDescent="0.2">
      <c r="A560" s="65" t="s">
        <v>1899</v>
      </c>
    </row>
    <row r="561" spans="1:1" x14ac:dyDescent="0.2">
      <c r="A561" s="66" t="s">
        <v>1900</v>
      </c>
    </row>
    <row r="562" spans="1:1" x14ac:dyDescent="0.2">
      <c r="A562" s="65" t="s">
        <v>1901</v>
      </c>
    </row>
    <row r="563" spans="1:1" x14ac:dyDescent="0.2">
      <c r="A563" s="66" t="s">
        <v>1902</v>
      </c>
    </row>
    <row r="564" spans="1:1" x14ac:dyDescent="0.2">
      <c r="A564" s="65" t="s">
        <v>1903</v>
      </c>
    </row>
    <row r="565" spans="1:1" x14ac:dyDescent="0.2">
      <c r="A565" s="66" t="s">
        <v>1904</v>
      </c>
    </row>
    <row r="566" spans="1:1" x14ac:dyDescent="0.2">
      <c r="A566" s="65" t="s">
        <v>1905</v>
      </c>
    </row>
    <row r="567" spans="1:1" x14ac:dyDescent="0.2">
      <c r="A567" s="66" t="s">
        <v>1906</v>
      </c>
    </row>
    <row r="568" spans="1:1" x14ac:dyDescent="0.2">
      <c r="A568" s="65" t="s">
        <v>1907</v>
      </c>
    </row>
    <row r="569" spans="1:1" x14ac:dyDescent="0.2">
      <c r="A569" s="66" t="s">
        <v>1908</v>
      </c>
    </row>
    <row r="570" spans="1:1" x14ac:dyDescent="0.2">
      <c r="A570" s="65" t="s">
        <v>1909</v>
      </c>
    </row>
    <row r="571" spans="1:1" x14ac:dyDescent="0.2">
      <c r="A571" s="66" t="s">
        <v>1910</v>
      </c>
    </row>
    <row r="572" spans="1:1" x14ac:dyDescent="0.2">
      <c r="A572" s="65" t="s">
        <v>1911</v>
      </c>
    </row>
    <row r="573" spans="1:1" x14ac:dyDescent="0.2">
      <c r="A573" s="66" t="s">
        <v>1912</v>
      </c>
    </row>
    <row r="574" spans="1:1" x14ac:dyDescent="0.2">
      <c r="A574" s="65" t="s">
        <v>1913</v>
      </c>
    </row>
    <row r="575" spans="1:1" x14ac:dyDescent="0.2">
      <c r="A575" s="66" t="s">
        <v>1914</v>
      </c>
    </row>
    <row r="576" spans="1:1" x14ac:dyDescent="0.2">
      <c r="A576" s="65" t="s">
        <v>1915</v>
      </c>
    </row>
    <row r="577" spans="1:1" x14ac:dyDescent="0.2">
      <c r="A577" s="66" t="s">
        <v>1916</v>
      </c>
    </row>
    <row r="578" spans="1:1" x14ac:dyDescent="0.2">
      <c r="A578" s="65" t="s">
        <v>1917</v>
      </c>
    </row>
    <row r="579" spans="1:1" x14ac:dyDescent="0.2">
      <c r="A579" s="66" t="s">
        <v>1918</v>
      </c>
    </row>
    <row r="580" spans="1:1" x14ac:dyDescent="0.2">
      <c r="A580" s="65" t="s">
        <v>1919</v>
      </c>
    </row>
    <row r="581" spans="1:1" x14ac:dyDescent="0.2">
      <c r="A581" s="66" t="s">
        <v>1920</v>
      </c>
    </row>
    <row r="582" spans="1:1" x14ac:dyDescent="0.2">
      <c r="A582" s="65" t="s">
        <v>1921</v>
      </c>
    </row>
    <row r="583" spans="1:1" x14ac:dyDescent="0.2">
      <c r="A583" s="66" t="s">
        <v>1922</v>
      </c>
    </row>
    <row r="584" spans="1:1" x14ac:dyDescent="0.2">
      <c r="A584" s="65" t="s">
        <v>1923</v>
      </c>
    </row>
    <row r="585" spans="1:1" x14ac:dyDescent="0.2">
      <c r="A585" s="66" t="s">
        <v>1924</v>
      </c>
    </row>
    <row r="586" spans="1:1" x14ac:dyDescent="0.2">
      <c r="A586" s="65" t="s">
        <v>1925</v>
      </c>
    </row>
    <row r="587" spans="1:1" x14ac:dyDescent="0.2">
      <c r="A587" s="66" t="s">
        <v>1926</v>
      </c>
    </row>
    <row r="588" spans="1:1" x14ac:dyDescent="0.2">
      <c r="A588" s="65" t="s">
        <v>1927</v>
      </c>
    </row>
    <row r="589" spans="1:1" x14ac:dyDescent="0.2">
      <c r="A589" s="66" t="s">
        <v>1928</v>
      </c>
    </row>
    <row r="590" spans="1:1" x14ac:dyDescent="0.2">
      <c r="A590" s="65" t="s">
        <v>1929</v>
      </c>
    </row>
    <row r="591" spans="1:1" ht="30" x14ac:dyDescent="0.2">
      <c r="A591" s="66" t="s">
        <v>1930</v>
      </c>
    </row>
    <row r="592" spans="1:1" x14ac:dyDescent="0.2">
      <c r="A592" s="65" t="s">
        <v>1931</v>
      </c>
    </row>
    <row r="593" spans="1:1" x14ac:dyDescent="0.2">
      <c r="A593" s="66" t="s">
        <v>1922</v>
      </c>
    </row>
    <row r="594" spans="1:1" x14ac:dyDescent="0.2">
      <c r="A594" s="65" t="s">
        <v>1932</v>
      </c>
    </row>
    <row r="595" spans="1:1" x14ac:dyDescent="0.2">
      <c r="A595" s="66" t="s">
        <v>1933</v>
      </c>
    </row>
    <row r="596" spans="1:1" x14ac:dyDescent="0.2">
      <c r="A596" s="65" t="s">
        <v>1934</v>
      </c>
    </row>
    <row r="597" spans="1:1" x14ac:dyDescent="0.2">
      <c r="A597" s="66" t="s">
        <v>1926</v>
      </c>
    </row>
    <row r="598" spans="1:1" x14ac:dyDescent="0.2">
      <c r="A598" s="65" t="s">
        <v>1935</v>
      </c>
    </row>
    <row r="599" spans="1:1" x14ac:dyDescent="0.2">
      <c r="A599" s="66" t="s">
        <v>1928</v>
      </c>
    </row>
    <row r="600" spans="1:1" x14ac:dyDescent="0.2">
      <c r="A600" s="65" t="s">
        <v>1936</v>
      </c>
    </row>
    <row r="601" spans="1:1" ht="30" x14ac:dyDescent="0.2">
      <c r="A601" s="66" t="s">
        <v>1937</v>
      </c>
    </row>
    <row r="602" spans="1:1" x14ac:dyDescent="0.2">
      <c r="A602" s="65" t="s">
        <v>1938</v>
      </c>
    </row>
    <row r="603" spans="1:1" x14ac:dyDescent="0.2">
      <c r="A603" s="66" t="s">
        <v>1939</v>
      </c>
    </row>
    <row r="604" spans="1:1" x14ac:dyDescent="0.2">
      <c r="A604" s="65" t="s">
        <v>1940</v>
      </c>
    </row>
    <row r="605" spans="1:1" x14ac:dyDescent="0.2">
      <c r="A605" s="66" t="s">
        <v>1941</v>
      </c>
    </row>
    <row r="606" spans="1:1" x14ac:dyDescent="0.2">
      <c r="A606" s="65" t="s">
        <v>1942</v>
      </c>
    </row>
    <row r="607" spans="1:1" x14ac:dyDescent="0.2">
      <c r="A607" s="66" t="s">
        <v>1943</v>
      </c>
    </row>
    <row r="608" spans="1:1" x14ac:dyDescent="0.2">
      <c r="A608" s="65" t="s">
        <v>1944</v>
      </c>
    </row>
    <row r="609" spans="1:1" ht="30" x14ac:dyDescent="0.2">
      <c r="A609" s="66" t="s">
        <v>1945</v>
      </c>
    </row>
    <row r="610" spans="1:1" x14ac:dyDescent="0.2">
      <c r="A610" s="65" t="s">
        <v>1946</v>
      </c>
    </row>
    <row r="611" spans="1:1" x14ac:dyDescent="0.2">
      <c r="A611" s="66" t="s">
        <v>1947</v>
      </c>
    </row>
    <row r="612" spans="1:1" x14ac:dyDescent="0.2">
      <c r="A612" s="65" t="s">
        <v>1948</v>
      </c>
    </row>
    <row r="613" spans="1:1" x14ac:dyDescent="0.2">
      <c r="A613" s="66" t="s">
        <v>1949</v>
      </c>
    </row>
    <row r="614" spans="1:1" x14ac:dyDescent="0.2">
      <c r="A614" s="65" t="s">
        <v>1950</v>
      </c>
    </row>
    <row r="615" spans="1:1" x14ac:dyDescent="0.2">
      <c r="A615" s="66" t="s">
        <v>1951</v>
      </c>
    </row>
    <row r="616" spans="1:1" x14ac:dyDescent="0.2">
      <c r="A616" s="65" t="s">
        <v>1952</v>
      </c>
    </row>
    <row r="617" spans="1:1" x14ac:dyDescent="0.2">
      <c r="A617" s="66" t="s">
        <v>1953</v>
      </c>
    </row>
    <row r="618" spans="1:1" x14ac:dyDescent="0.2">
      <c r="A618" s="65" t="s">
        <v>1954</v>
      </c>
    </row>
    <row r="619" spans="1:1" x14ac:dyDescent="0.2">
      <c r="A619" s="66" t="s">
        <v>1955</v>
      </c>
    </row>
    <row r="620" spans="1:1" x14ac:dyDescent="0.2">
      <c r="A620" s="65" t="s">
        <v>1956</v>
      </c>
    </row>
    <row r="621" spans="1:1" x14ac:dyDescent="0.2">
      <c r="A621" s="66" t="s">
        <v>1957</v>
      </c>
    </row>
    <row r="622" spans="1:1" x14ac:dyDescent="0.2">
      <c r="A622" s="65" t="s">
        <v>1958</v>
      </c>
    </row>
    <row r="623" spans="1:1" x14ac:dyDescent="0.2">
      <c r="A623" s="66" t="s">
        <v>1959</v>
      </c>
    </row>
    <row r="624" spans="1:1" x14ac:dyDescent="0.2">
      <c r="A624" s="65" t="s">
        <v>1960</v>
      </c>
    </row>
    <row r="625" spans="1:1" x14ac:dyDescent="0.2">
      <c r="A625" s="66" t="s">
        <v>1961</v>
      </c>
    </row>
    <row r="626" spans="1:1" x14ac:dyDescent="0.2">
      <c r="A626" s="65" t="s">
        <v>1962</v>
      </c>
    </row>
    <row r="627" spans="1:1" x14ac:dyDescent="0.2">
      <c r="A627" s="66" t="s">
        <v>1963</v>
      </c>
    </row>
    <row r="628" spans="1:1" x14ac:dyDescent="0.2">
      <c r="A628" s="65" t="s">
        <v>1964</v>
      </c>
    </row>
    <row r="629" spans="1:1" x14ac:dyDescent="0.2">
      <c r="A629" s="66" t="s">
        <v>1965</v>
      </c>
    </row>
    <row r="630" spans="1:1" x14ac:dyDescent="0.2">
      <c r="A630" s="65" t="s">
        <v>1966</v>
      </c>
    </row>
    <row r="631" spans="1:1" x14ac:dyDescent="0.2">
      <c r="A631" s="66" t="s">
        <v>1963</v>
      </c>
    </row>
    <row r="632" spans="1:1" x14ac:dyDescent="0.2">
      <c r="A632" s="65" t="s">
        <v>1967</v>
      </c>
    </row>
    <row r="633" spans="1:1" x14ac:dyDescent="0.2">
      <c r="A633" s="66" t="s">
        <v>1968</v>
      </c>
    </row>
    <row r="634" spans="1:1" x14ac:dyDescent="0.2">
      <c r="A634" s="65" t="s">
        <v>1969</v>
      </c>
    </row>
    <row r="635" spans="1:1" x14ac:dyDescent="0.2">
      <c r="A635" s="66" t="s">
        <v>1963</v>
      </c>
    </row>
    <row r="636" spans="1:1" x14ac:dyDescent="0.2">
      <c r="A636" s="65" t="s">
        <v>1970</v>
      </c>
    </row>
    <row r="637" spans="1:1" x14ac:dyDescent="0.2">
      <c r="A637" s="66" t="s">
        <v>1971</v>
      </c>
    </row>
    <row r="638" spans="1:1" x14ac:dyDescent="0.2">
      <c r="A638" s="65" t="s">
        <v>1972</v>
      </c>
    </row>
    <row r="639" spans="1:1" x14ac:dyDescent="0.2">
      <c r="A639" s="66" t="s">
        <v>1973</v>
      </c>
    </row>
    <row r="640" spans="1:1" x14ac:dyDescent="0.2">
      <c r="A640" s="65" t="s">
        <v>1974</v>
      </c>
    </row>
    <row r="641" spans="1:1" x14ac:dyDescent="0.2">
      <c r="A641" s="66" t="s">
        <v>1975</v>
      </c>
    </row>
    <row r="642" spans="1:1" x14ac:dyDescent="0.2">
      <c r="A642" s="65" t="s">
        <v>1976</v>
      </c>
    </row>
    <row r="643" spans="1:1" x14ac:dyDescent="0.2">
      <c r="A643" s="66" t="s">
        <v>1977</v>
      </c>
    </row>
    <row r="644" spans="1:1" x14ac:dyDescent="0.2">
      <c r="A644" s="65" t="s">
        <v>1978</v>
      </c>
    </row>
    <row r="645" spans="1:1" x14ac:dyDescent="0.2">
      <c r="A645" s="66" t="s">
        <v>1979</v>
      </c>
    </row>
    <row r="646" spans="1:1" x14ac:dyDescent="0.2">
      <c r="A646" s="65" t="s">
        <v>1980</v>
      </c>
    </row>
    <row r="647" spans="1:1" x14ac:dyDescent="0.2">
      <c r="A647" s="66" t="s">
        <v>1981</v>
      </c>
    </row>
    <row r="648" spans="1:1" x14ac:dyDescent="0.2">
      <c r="A648" s="65" t="s">
        <v>1982</v>
      </c>
    </row>
    <row r="649" spans="1:1" x14ac:dyDescent="0.2">
      <c r="A649" s="66" t="s">
        <v>1963</v>
      </c>
    </row>
    <row r="650" spans="1:1" x14ac:dyDescent="0.2">
      <c r="A650" s="65" t="s">
        <v>1983</v>
      </c>
    </row>
    <row r="651" spans="1:1" x14ac:dyDescent="0.2">
      <c r="A651" s="66" t="s">
        <v>1981</v>
      </c>
    </row>
    <row r="652" spans="1:1" x14ac:dyDescent="0.2">
      <c r="A652" s="65" t="s">
        <v>1984</v>
      </c>
    </row>
    <row r="653" spans="1:1" x14ac:dyDescent="0.2">
      <c r="A653" s="66" t="s">
        <v>1963</v>
      </c>
    </row>
    <row r="654" spans="1:1" x14ac:dyDescent="0.2">
      <c r="A654" s="65" t="s">
        <v>1985</v>
      </c>
    </row>
    <row r="655" spans="1:1" x14ac:dyDescent="0.2">
      <c r="A655" s="66" t="s">
        <v>1986</v>
      </c>
    </row>
    <row r="656" spans="1:1" x14ac:dyDescent="0.2">
      <c r="A656" s="65" t="s">
        <v>1987</v>
      </c>
    </row>
    <row r="657" spans="1:1" x14ac:dyDescent="0.2">
      <c r="A657" s="66" t="s">
        <v>1963</v>
      </c>
    </row>
    <row r="658" spans="1:1" x14ac:dyDescent="0.2">
      <c r="A658" s="65" t="s">
        <v>1988</v>
      </c>
    </row>
    <row r="659" spans="1:1" x14ac:dyDescent="0.2">
      <c r="A659" s="66" t="s">
        <v>1989</v>
      </c>
    </row>
    <row r="660" spans="1:1" x14ac:dyDescent="0.2">
      <c r="A660" s="65" t="s">
        <v>1990</v>
      </c>
    </row>
    <row r="661" spans="1:1" x14ac:dyDescent="0.2">
      <c r="A661" s="66" t="s">
        <v>1991</v>
      </c>
    </row>
    <row r="662" spans="1:1" x14ac:dyDescent="0.2">
      <c r="A662" s="65" t="s">
        <v>1992</v>
      </c>
    </row>
    <row r="663" spans="1:1" x14ac:dyDescent="0.2">
      <c r="A663" s="66" t="s">
        <v>1993</v>
      </c>
    </row>
    <row r="664" spans="1:1" x14ac:dyDescent="0.2">
      <c r="A664" s="65" t="s">
        <v>1994</v>
      </c>
    </row>
    <row r="665" spans="1:1" x14ac:dyDescent="0.2">
      <c r="A665" s="66" t="s">
        <v>1995</v>
      </c>
    </row>
    <row r="666" spans="1:1" x14ac:dyDescent="0.2">
      <c r="A666" s="65" t="s">
        <v>1996</v>
      </c>
    </row>
    <row r="667" spans="1:1" x14ac:dyDescent="0.2">
      <c r="A667" s="66" t="s">
        <v>1997</v>
      </c>
    </row>
    <row r="668" spans="1:1" x14ac:dyDescent="0.2">
      <c r="A668" s="65" t="s">
        <v>1998</v>
      </c>
    </row>
    <row r="669" spans="1:1" x14ac:dyDescent="0.2">
      <c r="A669" s="66" t="s">
        <v>1999</v>
      </c>
    </row>
    <row r="670" spans="1:1" x14ac:dyDescent="0.2">
      <c r="A670" s="65" t="s">
        <v>2000</v>
      </c>
    </row>
    <row r="671" spans="1:1" x14ac:dyDescent="0.2">
      <c r="A671" s="66" t="s">
        <v>2001</v>
      </c>
    </row>
    <row r="672" spans="1:1" x14ac:dyDescent="0.2">
      <c r="A672" s="65" t="s">
        <v>2002</v>
      </c>
    </row>
    <row r="673" spans="1:1" x14ac:dyDescent="0.2">
      <c r="A673" s="66" t="s">
        <v>2003</v>
      </c>
    </row>
    <row r="674" spans="1:1" x14ac:dyDescent="0.2">
      <c r="A674" s="65" t="s">
        <v>2004</v>
      </c>
    </row>
    <row r="675" spans="1:1" x14ac:dyDescent="0.2">
      <c r="A675" s="66" t="s">
        <v>1981</v>
      </c>
    </row>
    <row r="676" spans="1:1" x14ac:dyDescent="0.2">
      <c r="A676" s="65" t="s">
        <v>2005</v>
      </c>
    </row>
    <row r="677" spans="1:1" x14ac:dyDescent="0.2">
      <c r="A677" s="66" t="s">
        <v>2006</v>
      </c>
    </row>
    <row r="678" spans="1:1" x14ac:dyDescent="0.2">
      <c r="A678" s="65" t="s">
        <v>2007</v>
      </c>
    </row>
    <row r="679" spans="1:1" x14ac:dyDescent="0.2">
      <c r="A679" s="66" t="s">
        <v>2008</v>
      </c>
    </row>
    <row r="680" spans="1:1" x14ac:dyDescent="0.2">
      <c r="A680" s="65" t="s">
        <v>2009</v>
      </c>
    </row>
    <row r="681" spans="1:1" x14ac:dyDescent="0.2">
      <c r="A681" s="66" t="s">
        <v>2010</v>
      </c>
    </row>
    <row r="682" spans="1:1" x14ac:dyDescent="0.2">
      <c r="A682" s="65" t="s">
        <v>2011</v>
      </c>
    </row>
    <row r="683" spans="1:1" x14ac:dyDescent="0.2">
      <c r="A683" s="66" t="s">
        <v>2012</v>
      </c>
    </row>
    <row r="684" spans="1:1" x14ac:dyDescent="0.2">
      <c r="A684" s="65" t="s">
        <v>2013</v>
      </c>
    </row>
    <row r="685" spans="1:1" x14ac:dyDescent="0.2">
      <c r="A685" s="66" t="s">
        <v>2014</v>
      </c>
    </row>
  </sheetData>
  <pageMargins left="0.7" right="0.7" top="0.75" bottom="0.75" header="0.3" footer="0.3"/>
  <pageSetup scale="77" fitToHeight="0" orientation="portrait" r:id="rId1"/>
  <headerFooter>
    <oddFooter>&amp;C&amp;"-,Bold"&amp;A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B0F0"/>
  </sheetPr>
  <dimension ref="A1:M43"/>
  <sheetViews>
    <sheetView zoomScale="120" zoomScaleNormal="120" workbookViewId="0">
      <selection activeCell="B44" sqref="B44"/>
    </sheetView>
  </sheetViews>
  <sheetFormatPr baseColWidth="10" defaultColWidth="8.83203125" defaultRowHeight="15" x14ac:dyDescent="0.2"/>
  <cols>
    <col min="1" max="1" width="39.6640625" style="539" customWidth="1"/>
    <col min="2" max="2" width="55.5" style="469" customWidth="1"/>
    <col min="3" max="3" width="2.5" style="502" customWidth="1"/>
    <col min="4" max="4" width="98.5" style="502" customWidth="1"/>
    <col min="5" max="5" width="8.83203125" style="502"/>
    <col min="6" max="6" width="3.6640625" style="514" customWidth="1"/>
    <col min="7" max="7" width="8.83203125" style="502"/>
    <col min="8" max="8" width="3.6640625" style="514" customWidth="1"/>
    <col min="9" max="9" width="8.83203125" style="502"/>
    <col min="10" max="10" width="3.6640625" style="514" customWidth="1"/>
    <col min="11" max="11" width="8.83203125" style="502"/>
    <col min="12" max="12" width="10.83203125" style="502" bestFit="1" customWidth="1"/>
    <col min="13" max="13" width="40.5" style="537" customWidth="1"/>
    <col min="14" max="16384" width="8.83203125" style="502"/>
  </cols>
  <sheetData>
    <row r="1" spans="1:7" x14ac:dyDescent="0.2">
      <c r="A1" s="584" t="s">
        <v>0</v>
      </c>
      <c r="B1" s="585" t="s">
        <v>1</v>
      </c>
      <c r="C1" s="586"/>
      <c r="D1" s="587" t="s">
        <v>2</v>
      </c>
      <c r="G1" s="571"/>
    </row>
    <row r="2" spans="1:7" ht="4.25" customHeight="1" thickBot="1" x14ac:dyDescent="0.25">
      <c r="A2" s="583"/>
      <c r="B2" s="574"/>
      <c r="C2" s="505"/>
      <c r="D2" s="505"/>
    </row>
    <row r="3" spans="1:7" ht="16" thickBot="1" x14ac:dyDescent="0.25">
      <c r="A3" s="583" t="s">
        <v>3</v>
      </c>
      <c r="B3" s="698"/>
      <c r="D3" s="502" t="s">
        <v>2019</v>
      </c>
    </row>
    <row r="4" spans="1:7" ht="4.25" customHeight="1" thickBot="1" x14ac:dyDescent="0.25">
      <c r="A4" s="583"/>
      <c r="B4" s="62"/>
    </row>
    <row r="5" spans="1:7" ht="123" customHeight="1" thickBot="1" x14ac:dyDescent="0.25">
      <c r="A5" s="583" t="s">
        <v>4</v>
      </c>
      <c r="B5" s="698"/>
      <c r="D5" s="524" t="s">
        <v>2034</v>
      </c>
    </row>
    <row r="6" spans="1:7" ht="4.25" customHeight="1" thickBot="1" x14ac:dyDescent="0.25">
      <c r="A6" s="583"/>
      <c r="B6" s="576"/>
    </row>
    <row r="7" spans="1:7" ht="16" thickBot="1" x14ac:dyDescent="0.25">
      <c r="A7" s="583" t="s">
        <v>5</v>
      </c>
      <c r="B7" s="698"/>
      <c r="D7" s="504"/>
    </row>
    <row r="8" spans="1:7" ht="4.25" customHeight="1" thickBot="1" x14ac:dyDescent="0.25">
      <c r="A8" s="583"/>
      <c r="B8" s="576">
        <v>1</v>
      </c>
    </row>
    <row r="9" spans="1:7" ht="16" thickBot="1" x14ac:dyDescent="0.25">
      <c r="A9" s="583" t="s">
        <v>6</v>
      </c>
      <c r="B9" s="575"/>
      <c r="D9" s="524"/>
    </row>
    <row r="10" spans="1:7" ht="4.25" customHeight="1" thickBot="1" x14ac:dyDescent="0.25">
      <c r="A10" s="583"/>
      <c r="B10" s="62"/>
    </row>
    <row r="11" spans="1:7" ht="15" customHeight="1" thickBot="1" x14ac:dyDescent="0.25">
      <c r="A11" s="583" t="s">
        <v>7</v>
      </c>
      <c r="B11" s="698" t="s">
        <v>918</v>
      </c>
      <c r="D11" s="502" t="s">
        <v>8</v>
      </c>
    </row>
    <row r="12" spans="1:7" ht="4.25" customHeight="1" thickBot="1" x14ac:dyDescent="0.25">
      <c r="A12" s="583"/>
      <c r="B12" s="62"/>
    </row>
    <row r="13" spans="1:7" ht="15" customHeight="1" thickBot="1" x14ac:dyDescent="0.25">
      <c r="A13" s="583" t="s">
        <v>9</v>
      </c>
      <c r="B13" s="575"/>
    </row>
    <row r="14" spans="1:7" ht="4.25" customHeight="1" thickBot="1" x14ac:dyDescent="0.25">
      <c r="A14" s="583"/>
      <c r="B14" s="62"/>
      <c r="D14" s="504"/>
    </row>
    <row r="15" spans="1:7" ht="15" customHeight="1" thickBot="1" x14ac:dyDescent="0.25">
      <c r="A15" s="583" t="s">
        <v>10</v>
      </c>
      <c r="B15" s="698"/>
      <c r="D15" s="502" t="s">
        <v>2024</v>
      </c>
    </row>
    <row r="16" spans="1:7" ht="4.25" customHeight="1" thickBot="1" x14ac:dyDescent="0.25">
      <c r="A16" s="583"/>
      <c r="B16" s="62"/>
    </row>
    <row r="17" spans="1:11" ht="15" customHeight="1" thickBot="1" x14ac:dyDescent="0.25">
      <c r="A17" s="583" t="s">
        <v>11</v>
      </c>
      <c r="B17" s="575"/>
      <c r="D17" s="502" t="s">
        <v>12</v>
      </c>
    </row>
    <row r="18" spans="1:11" ht="4.25" customHeight="1" thickBot="1" x14ac:dyDescent="0.25">
      <c r="A18" s="583"/>
      <c r="B18" s="62"/>
    </row>
    <row r="19" spans="1:11" ht="15" customHeight="1" thickBot="1" x14ac:dyDescent="0.25">
      <c r="A19" s="583" t="s">
        <v>13</v>
      </c>
      <c r="B19" s="575"/>
      <c r="D19" s="502" t="s">
        <v>14</v>
      </c>
    </row>
    <row r="20" spans="1:11" ht="4.25" customHeight="1" thickBot="1" x14ac:dyDescent="0.25">
      <c r="A20" s="583"/>
      <c r="B20" s="62"/>
    </row>
    <row r="21" spans="1:11" ht="16" thickBot="1" x14ac:dyDescent="0.25">
      <c r="A21" s="583" t="s">
        <v>15</v>
      </c>
      <c r="B21" s="575"/>
      <c r="D21" s="502" t="s">
        <v>2061</v>
      </c>
    </row>
    <row r="22" spans="1:11" ht="4.25" customHeight="1" thickBot="1" x14ac:dyDescent="0.25">
      <c r="B22" s="62"/>
    </row>
    <row r="23" spans="1:11" ht="17" thickBot="1" x14ac:dyDescent="0.25">
      <c r="A23" s="583" t="s">
        <v>16</v>
      </c>
      <c r="B23" s="699"/>
      <c r="D23" s="524" t="s">
        <v>17</v>
      </c>
    </row>
    <row r="24" spans="1:11" ht="4.25" customHeight="1" x14ac:dyDescent="0.2">
      <c r="A24" s="583"/>
      <c r="B24" s="577"/>
    </row>
    <row r="25" spans="1:11" ht="4.25" customHeight="1" thickBot="1" x14ac:dyDescent="0.25">
      <c r="B25" s="62"/>
      <c r="E25" s="572"/>
      <c r="F25" s="572"/>
      <c r="G25" s="572"/>
      <c r="H25" s="572"/>
      <c r="I25" s="572"/>
      <c r="J25" s="572"/>
      <c r="K25" s="572"/>
    </row>
    <row r="26" spans="1:11" ht="16" thickBot="1" x14ac:dyDescent="0.25">
      <c r="A26" s="583" t="s">
        <v>18</v>
      </c>
      <c r="B26" s="575"/>
      <c r="D26" s="502" t="s">
        <v>19</v>
      </c>
    </row>
    <row r="27" spans="1:11" x14ac:dyDescent="0.2">
      <c r="A27" s="583"/>
    </row>
    <row r="29" spans="1:11" ht="16" thickBot="1" x14ac:dyDescent="0.25">
      <c r="A29" s="583"/>
    </row>
    <row r="30" spans="1:11" x14ac:dyDescent="0.2">
      <c r="A30" s="583" t="s">
        <v>20</v>
      </c>
      <c r="B30" s="578"/>
      <c r="D30" s="502" t="s">
        <v>2022</v>
      </c>
    </row>
    <row r="31" spans="1:11" x14ac:dyDescent="0.2">
      <c r="A31" s="583" t="s">
        <v>21</v>
      </c>
      <c r="B31" s="579"/>
      <c r="D31" s="502" t="s">
        <v>22</v>
      </c>
    </row>
    <row r="32" spans="1:11" x14ac:dyDescent="0.2">
      <c r="A32" s="583" t="s">
        <v>23</v>
      </c>
      <c r="B32" s="580"/>
      <c r="D32" s="573"/>
    </row>
    <row r="33" spans="1:12" x14ac:dyDescent="0.2">
      <c r="A33" s="583" t="s">
        <v>24</v>
      </c>
      <c r="B33" s="580"/>
      <c r="D33" s="573"/>
    </row>
    <row r="34" spans="1:12" ht="16" thickBot="1" x14ac:dyDescent="0.25">
      <c r="A34" s="583" t="s">
        <v>25</v>
      </c>
      <c r="B34" s="581"/>
      <c r="D34" s="502" t="s">
        <v>26</v>
      </c>
    </row>
    <row r="35" spans="1:12" x14ac:dyDescent="0.2">
      <c r="A35" s="583"/>
    </row>
    <row r="36" spans="1:12" ht="16" thickBot="1" x14ac:dyDescent="0.25"/>
    <row r="37" spans="1:12" ht="48" x14ac:dyDescent="0.2">
      <c r="A37" s="583" t="s">
        <v>2020</v>
      </c>
      <c r="B37" s="700"/>
      <c r="D37" s="524" t="s">
        <v>2021</v>
      </c>
    </row>
    <row r="38" spans="1:12" x14ac:dyDescent="0.2">
      <c r="A38" s="583" t="s">
        <v>2041</v>
      </c>
      <c r="B38" s="701"/>
      <c r="D38" s="823" t="s">
        <v>2077</v>
      </c>
      <c r="E38" s="824"/>
      <c r="F38" s="824"/>
      <c r="G38" s="824"/>
      <c r="H38" s="824"/>
      <c r="I38" s="824"/>
      <c r="J38" s="824"/>
    </row>
    <row r="39" spans="1:12" ht="27.75" customHeight="1" x14ac:dyDescent="0.2">
      <c r="A39" s="583" t="s">
        <v>2042</v>
      </c>
      <c r="B39" s="702"/>
      <c r="D39" s="524" t="s">
        <v>2078</v>
      </c>
      <c r="E39" s="524"/>
      <c r="F39" s="524"/>
      <c r="G39" s="524"/>
      <c r="H39" s="524"/>
      <c r="I39" s="524"/>
      <c r="J39" s="524"/>
    </row>
    <row r="40" spans="1:12" x14ac:dyDescent="0.2">
      <c r="A40" s="583" t="s">
        <v>2043</v>
      </c>
      <c r="B40" s="702"/>
      <c r="D40" s="825" t="s">
        <v>2079</v>
      </c>
      <c r="E40" s="825"/>
      <c r="F40" s="825"/>
      <c r="G40" s="825"/>
      <c r="H40" s="825"/>
      <c r="I40" s="825"/>
      <c r="J40" s="825"/>
      <c r="K40" s="825"/>
      <c r="L40" s="825"/>
    </row>
    <row r="42" spans="1:12" ht="16" thickBot="1" x14ac:dyDescent="0.25"/>
    <row r="43" spans="1:12" ht="16" thickBot="1" x14ac:dyDescent="0.25">
      <c r="B43" s="822" t="s">
        <v>2080</v>
      </c>
    </row>
  </sheetData>
  <mergeCells count="2">
    <mergeCell ref="D38:J38"/>
    <mergeCell ref="D40:L40"/>
  </mergeCells>
  <dataValidations count="1">
    <dataValidation type="list" showInputMessage="1" showErrorMessage="1" sqref="B11" xr:uid="{00000000-0002-0000-0100-000002000000}">
      <formula1>Building</formula1>
    </dataValidation>
  </dataValidations>
  <pageMargins left="0.7" right="0.7" top="0.75" bottom="0.75" header="0.3" footer="0.3"/>
  <pageSetup scale="73" orientation="landscape" useFirstPageNumber="1" r:id="rId1"/>
  <headerFooter>
    <oddHeader>&amp;C&amp;"-,Bold"&amp;A</oddHeader>
    <oddFooter>&amp;LPage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00B0F0"/>
  </sheetPr>
  <dimension ref="A1:BD263"/>
  <sheetViews>
    <sheetView topLeftCell="C1" zoomScale="80" zoomScaleNormal="80" workbookViewId="0">
      <selection activeCell="S205" sqref="S205"/>
    </sheetView>
  </sheetViews>
  <sheetFormatPr baseColWidth="10" defaultColWidth="8.83203125" defaultRowHeight="15" outlineLevelCol="1" x14ac:dyDescent="0.2"/>
  <cols>
    <col min="1" max="1" width="9.33203125" style="502" customWidth="1"/>
    <col min="2" max="2" width="23.6640625" style="502" bestFit="1" customWidth="1"/>
    <col min="3" max="3" width="34.83203125" style="502" customWidth="1"/>
    <col min="4" max="4" width="24.1640625" style="502" customWidth="1"/>
    <col min="5" max="5" width="12" style="502" bestFit="1" customWidth="1"/>
    <col min="6" max="6" width="3.6640625" style="514" customWidth="1"/>
    <col min="7" max="7" width="9.1640625" style="537"/>
    <col min="8" max="8" width="3.6640625" style="514" customWidth="1"/>
    <col min="9" max="9" width="9.1640625" style="537"/>
    <col min="10" max="10" width="3.6640625" style="514" customWidth="1"/>
    <col min="11" max="11" width="10.5" style="537" customWidth="1"/>
    <col min="12" max="12" width="3.6640625" style="514" customWidth="1"/>
    <col min="13" max="13" width="9.1640625" style="537"/>
    <col min="14" max="14" width="3.6640625" style="514" customWidth="1"/>
    <col min="15" max="15" width="14" style="537" customWidth="1"/>
    <col min="16" max="16" width="3.6640625" style="514" hidden="1" customWidth="1"/>
    <col min="17" max="17" width="10.33203125" style="537" hidden="1" customWidth="1"/>
    <col min="18" max="18" width="13" style="502" customWidth="1"/>
    <col min="19" max="19" width="20.1640625" style="502" customWidth="1"/>
    <col min="20" max="20" width="41.6640625" style="602" customWidth="1"/>
    <col min="21" max="21" width="53.1640625" style="502" hidden="1" customWidth="1"/>
    <col min="22" max="22" width="26.6640625" style="502" customWidth="1"/>
    <col min="23" max="23" width="14.83203125" style="502" hidden="1" customWidth="1" outlineLevel="1"/>
    <col min="24" max="24" width="10.5" style="502" hidden="1" customWidth="1" outlineLevel="1"/>
    <col min="25" max="25" width="15.6640625" style="502" hidden="1" customWidth="1" outlineLevel="1"/>
    <col min="26" max="26" width="26.6640625" style="502" hidden="1" customWidth="1" outlineLevel="1"/>
    <col min="27" max="27" width="23.83203125" style="502" hidden="1" customWidth="1" outlineLevel="1"/>
    <col min="28" max="28" width="8.83203125" style="502" hidden="1" customWidth="1" outlineLevel="1"/>
    <col min="29" max="29" width="8.83203125" style="502" customWidth="1" collapsed="1"/>
    <col min="30" max="30" width="8.83203125" style="502" customWidth="1"/>
    <col min="31" max="31" width="9.83203125" style="469" hidden="1" customWidth="1" outlineLevel="1"/>
    <col min="32" max="32" width="8.83203125" style="469" hidden="1" customWidth="1" outlineLevel="1"/>
    <col min="33" max="33" width="9.6640625" style="469" hidden="1" customWidth="1" outlineLevel="1"/>
    <col min="34" max="34" width="9.1640625" style="469" hidden="1" customWidth="1" outlineLevel="1"/>
    <col min="35" max="35" width="11.83203125" style="469" hidden="1" customWidth="1" outlineLevel="1"/>
    <col min="36" max="37" width="11.33203125" style="470" hidden="1" customWidth="1" outlineLevel="1"/>
    <col min="38" max="38" width="11.5" style="471" hidden="1" customWidth="1" outlineLevel="1"/>
    <col min="39" max="39" width="15.5" style="469" hidden="1" customWidth="1" outlineLevel="1"/>
    <col min="40" max="40" width="8.83203125" style="469" hidden="1" customWidth="1" outlineLevel="1"/>
    <col min="41" max="41" width="10.83203125" style="469" hidden="1" customWidth="1" outlineLevel="1"/>
    <col min="42" max="43" width="16.5" style="472" hidden="1" customWidth="1" outlineLevel="1"/>
    <col min="44" max="45" width="16.5" style="704" customWidth="1" collapsed="1"/>
    <col min="46" max="46" width="16.5" style="473" customWidth="1"/>
    <col min="47" max="51" width="16.5" style="472" customWidth="1"/>
    <col min="52" max="16384" width="8.83203125" style="502"/>
  </cols>
  <sheetData>
    <row r="1" spans="1:56" x14ac:dyDescent="0.2">
      <c r="A1" s="505" t="s">
        <v>3</v>
      </c>
      <c r="C1" s="696">
        <f>'Base Information Sheet'!$B$3</f>
        <v>0</v>
      </c>
      <c r="F1" s="617" t="s">
        <v>28</v>
      </c>
    </row>
    <row r="2" spans="1:56" x14ac:dyDescent="0.2">
      <c r="A2" s="505" t="s">
        <v>4</v>
      </c>
      <c r="C2" s="696">
        <f>'Base Information Sheet'!$B$5</f>
        <v>0</v>
      </c>
      <c r="F2" s="37"/>
      <c r="G2" s="537" t="s">
        <v>29</v>
      </c>
      <c r="AJ2" s="474" t="s">
        <v>30</v>
      </c>
      <c r="AK2" s="470">
        <f>'Base Information Sheet'!$B$38</f>
        <v>0</v>
      </c>
    </row>
    <row r="3" spans="1:56" ht="14.25" customHeight="1" x14ac:dyDescent="0.2">
      <c r="A3" s="505" t="s">
        <v>5</v>
      </c>
      <c r="C3" s="696">
        <f>'Base Information Sheet'!$B$7</f>
        <v>0</v>
      </c>
      <c r="F3" s="624"/>
      <c r="G3" s="537" t="s">
        <v>31</v>
      </c>
      <c r="AJ3" s="474" t="s">
        <v>32</v>
      </c>
      <c r="AK3" s="470">
        <f>'Base Information Sheet'!$B$37</f>
        <v>0</v>
      </c>
      <c r="AS3" s="826" t="s">
        <v>2035</v>
      </c>
      <c r="AT3" s="829" t="s">
        <v>2036</v>
      </c>
      <c r="AU3" s="472" t="s">
        <v>1156</v>
      </c>
      <c r="AV3" s="832" t="s">
        <v>2040</v>
      </c>
      <c r="AW3" s="833"/>
      <c r="AX3" s="833"/>
      <c r="AY3" s="834"/>
    </row>
    <row r="4" spans="1:56" x14ac:dyDescent="0.2">
      <c r="A4" s="505" t="s">
        <v>33</v>
      </c>
      <c r="B4" s="618"/>
      <c r="C4" s="696">
        <f ca="1">TODAY()</f>
        <v>46049</v>
      </c>
      <c r="D4" s="566"/>
      <c r="F4" s="625"/>
      <c r="G4" s="537" t="s">
        <v>2033</v>
      </c>
      <c r="AS4" s="827"/>
      <c r="AT4" s="830"/>
      <c r="AV4" s="835"/>
      <c r="AW4" s="836"/>
      <c r="AX4" s="836"/>
      <c r="AY4" s="837"/>
    </row>
    <row r="5" spans="1:56" x14ac:dyDescent="0.2">
      <c r="A5" s="505" t="s">
        <v>34</v>
      </c>
      <c r="B5" s="618"/>
      <c r="C5" s="696">
        <f ca="1">YEAR(C4)</f>
        <v>2026</v>
      </c>
      <c r="D5" s="566"/>
      <c r="AS5" s="827"/>
      <c r="AT5" s="830"/>
      <c r="AV5" s="835"/>
      <c r="AW5" s="836"/>
      <c r="AX5" s="836"/>
      <c r="AY5" s="837"/>
    </row>
    <row r="6" spans="1:56" s="524" customFormat="1" ht="27.5" customHeight="1" x14ac:dyDescent="0.2">
      <c r="A6" s="619"/>
      <c r="B6" s="620"/>
      <c r="C6" s="695"/>
      <c r="D6" s="621"/>
      <c r="F6" s="843" t="s">
        <v>2065</v>
      </c>
      <c r="G6" s="844"/>
      <c r="H6" s="844"/>
      <c r="I6" s="844"/>
      <c r="J6" s="844"/>
      <c r="K6" s="844"/>
      <c r="L6" s="844"/>
      <c r="M6" s="844"/>
      <c r="N6" s="844"/>
      <c r="O6" s="845"/>
      <c r="P6" s="622"/>
      <c r="Q6" s="623"/>
      <c r="T6" s="602"/>
      <c r="AC6" s="562"/>
      <c r="AD6" s="562"/>
      <c r="AE6" s="562"/>
      <c r="AF6" s="562"/>
      <c r="AG6" s="562"/>
      <c r="AH6" s="562"/>
      <c r="AI6" s="562"/>
      <c r="AJ6" s="563"/>
      <c r="AK6" s="563"/>
      <c r="AL6" s="564"/>
      <c r="AM6" s="562"/>
      <c r="AN6" s="562"/>
      <c r="AO6" s="562"/>
      <c r="AP6" s="565"/>
      <c r="AQ6" s="565"/>
      <c r="AR6" s="703" t="s">
        <v>2032</v>
      </c>
      <c r="AS6" s="828"/>
      <c r="AT6" s="831"/>
      <c r="AU6" s="565"/>
      <c r="AV6" s="838"/>
      <c r="AW6" s="839"/>
      <c r="AX6" s="839"/>
      <c r="AY6" s="840"/>
    </row>
    <row r="7" spans="1:56" s="503" customFormat="1" ht="64" x14ac:dyDescent="0.2">
      <c r="A7" s="779" t="s">
        <v>36</v>
      </c>
      <c r="B7" s="780" t="s">
        <v>37</v>
      </c>
      <c r="C7" s="780" t="s">
        <v>38</v>
      </c>
      <c r="D7" s="781" t="s">
        <v>39</v>
      </c>
      <c r="E7" s="781" t="s">
        <v>40</v>
      </c>
      <c r="F7" s="841" t="s">
        <v>41</v>
      </c>
      <c r="G7" s="841"/>
      <c r="H7" s="841" t="s">
        <v>42</v>
      </c>
      <c r="I7" s="841"/>
      <c r="J7" s="841" t="s">
        <v>43</v>
      </c>
      <c r="K7" s="841"/>
      <c r="L7" s="841" t="s">
        <v>44</v>
      </c>
      <c r="M7" s="841"/>
      <c r="N7" s="842" t="s">
        <v>45</v>
      </c>
      <c r="O7" s="842"/>
      <c r="P7" s="780"/>
      <c r="Q7" s="781" t="s">
        <v>46</v>
      </c>
      <c r="R7" s="782" t="s">
        <v>47</v>
      </c>
      <c r="S7" s="736" t="s">
        <v>48</v>
      </c>
      <c r="T7" s="778" t="s">
        <v>49</v>
      </c>
      <c r="U7" s="468" t="s">
        <v>50</v>
      </c>
      <c r="V7" s="503" t="s">
        <v>2062</v>
      </c>
      <c r="AE7" s="692" t="s">
        <v>51</v>
      </c>
      <c r="AF7" s="692" t="s">
        <v>44</v>
      </c>
      <c r="AG7" s="692" t="s">
        <v>52</v>
      </c>
      <c r="AH7" s="692" t="s">
        <v>42</v>
      </c>
      <c r="AI7" s="692" t="s">
        <v>43</v>
      </c>
      <c r="AJ7" s="693" t="s">
        <v>53</v>
      </c>
      <c r="AK7" s="693" t="s">
        <v>54</v>
      </c>
      <c r="AL7" s="694" t="s">
        <v>55</v>
      </c>
      <c r="AM7" s="692" t="s">
        <v>56</v>
      </c>
      <c r="AN7" s="692" t="s">
        <v>57</v>
      </c>
      <c r="AO7" s="692" t="s">
        <v>58</v>
      </c>
      <c r="AP7" s="692" t="s">
        <v>59</v>
      </c>
      <c r="AQ7" s="692" t="s">
        <v>60</v>
      </c>
      <c r="AR7" s="781" t="s">
        <v>61</v>
      </c>
      <c r="AS7" s="781" t="s">
        <v>62</v>
      </c>
      <c r="AT7" s="736" t="s">
        <v>63</v>
      </c>
      <c r="AU7" s="736" t="s">
        <v>64</v>
      </c>
      <c r="AV7" s="736" t="s">
        <v>65</v>
      </c>
      <c r="AW7" s="736" t="s">
        <v>2037</v>
      </c>
      <c r="AX7" s="736" t="s">
        <v>2038</v>
      </c>
      <c r="AY7" s="736" t="s">
        <v>2039</v>
      </c>
    </row>
    <row r="8" spans="1:56" x14ac:dyDescent="0.2">
      <c r="A8" s="757" t="s">
        <v>66</v>
      </c>
      <c r="B8" s="95"/>
      <c r="C8" s="95"/>
      <c r="D8" s="95"/>
      <c r="E8" s="95"/>
      <c r="F8" s="758"/>
      <c r="G8" s="759"/>
      <c r="H8" s="758"/>
      <c r="I8" s="759"/>
      <c r="J8" s="758"/>
      <c r="K8" s="759"/>
      <c r="L8" s="758"/>
      <c r="M8" s="759"/>
      <c r="N8" s="758"/>
      <c r="O8" s="759"/>
      <c r="P8" s="758"/>
      <c r="Q8" s="759"/>
      <c r="R8" s="95"/>
      <c r="S8" s="95"/>
      <c r="T8" s="760"/>
      <c r="U8" s="15"/>
    </row>
    <row r="9" spans="1:56" ht="16" thickBot="1" x14ac:dyDescent="0.25">
      <c r="A9" s="755"/>
      <c r="B9" s="505" t="s">
        <v>67</v>
      </c>
      <c r="U9"/>
      <c r="BD9" s="708"/>
    </row>
    <row r="10" spans="1:56" ht="16" thickBot="1" x14ac:dyDescent="0.25">
      <c r="A10" s="755" t="s">
        <v>66</v>
      </c>
      <c r="B10" s="618" t="s">
        <v>67</v>
      </c>
      <c r="C10" s="502" t="s">
        <v>68</v>
      </c>
      <c r="D10" s="764"/>
      <c r="E10" s="728"/>
      <c r="F10" s="729"/>
      <c r="G10" s="537" t="s">
        <v>41</v>
      </c>
      <c r="H10" s="732"/>
      <c r="I10" s="537" t="s">
        <v>42</v>
      </c>
      <c r="J10" s="732"/>
      <c r="K10" s="537" t="s">
        <v>43</v>
      </c>
      <c r="L10" s="732"/>
      <c r="M10" s="537" t="s">
        <v>44</v>
      </c>
      <c r="N10" s="5"/>
      <c r="O10" s="537" t="s">
        <v>52</v>
      </c>
      <c r="P10" s="5"/>
      <c r="Q10" s="3" t="s">
        <v>52</v>
      </c>
      <c r="R10" s="783"/>
      <c r="S10" s="784">
        <f>'Base Information Sheet'!$B$23*'Physical Condition Assessment'!E10*'PCA Cost Tables - READ ONLY'!P10*'Physical Condition Assessment'!R10*'Base Information Sheet'!$B$38*'Base Information Sheet'!$B$37</f>
        <v>0</v>
      </c>
      <c r="T10" s="785"/>
      <c r="U10" t="s">
        <v>69</v>
      </c>
      <c r="V10" s="502" t="s">
        <v>70</v>
      </c>
      <c r="W10" s="851"/>
      <c r="X10" s="851"/>
      <c r="Y10" s="851"/>
      <c r="Z10" s="851"/>
      <c r="AE10" s="475" t="s">
        <v>71</v>
      </c>
      <c r="AF10" s="475" t="s">
        <v>72</v>
      </c>
      <c r="AG10" s="475"/>
      <c r="AH10" s="476">
        <f>_xlfn.XLOOKUP($U10,'PCA Cost Tables - READ ONLY'!$E$10:$E$172,'PCA Cost Tables - READ ONLY'!$F$10:$F$172,"BLANK",0)</f>
        <v>0.65490000000000004</v>
      </c>
      <c r="AI10" s="476">
        <f>_xlfn.XLOOKUP($U10,'PCA Cost Tables - READ ONLY'!$E$10:$E$172,'PCA Cost Tables - READ ONLY'!$H$10:$H$172,"BLANK",0)</f>
        <v>13.098000000000001</v>
      </c>
      <c r="AJ10" s="476">
        <f>_xlfn.XLOOKUP($U10,'PCA Cost Tables - READ ONLY'!$E$10:$E$172,'PCA Cost Tables - READ ONLY'!$J$10:$J$172,"BLANK",0)</f>
        <v>36.255263999999997</v>
      </c>
      <c r="AK10" s="476">
        <f>_xlfn.XLOOKUP($U10,'PCA Cost Tables - READ ONLY'!$E$10:$E$172,'PCA Cost Tables - READ ONLY'!$L$10:$L$172,"BLANK",0)</f>
        <v>0</v>
      </c>
      <c r="AL10" s="477">
        <f>IF($AE10="SF",IF($AF10="X",'Base Information Sheet'!$B$23*'Physical Condition Assessment'!$E10*'Physical Condition Assessment'!$AJ10,"-"))</f>
        <v>0</v>
      </c>
      <c r="AM10" s="477" t="str">
        <f>IF($AE10="SF",IF($AG10="X",'Base Information Sheet'!$B$23*'Physical Condition Assessment'!$E10*'Physical Condition Assessment'!$AK10,"-"))</f>
        <v>-</v>
      </c>
      <c r="AN10" s="477" t="b">
        <f>IF($AE10="Unit",IF($AF10="X",'Physical Condition Assessment'!$E10*'Physical Condition Assessment'!$AJ10,"-"))</f>
        <v>0</v>
      </c>
      <c r="AO10" s="477" t="b">
        <f>IF($AE10="Unit",IF($AG10="X",'Physical Condition Assessment'!$E10*'Physical Condition Assessment'!$AK10,"-"))</f>
        <v>0</v>
      </c>
      <c r="AP10" s="477">
        <f>SUMIF(AL10:AO10,"&gt;0",AL10:AO10)*$AK$2*$AK$3</f>
        <v>0</v>
      </c>
      <c r="AQ10" s="478" t="e">
        <f>S10/AP10</f>
        <v>#DIV/0!</v>
      </c>
      <c r="AR10" s="734"/>
      <c r="AS10" s="734">
        <v>100</v>
      </c>
      <c r="AT10" s="737">
        <f ca="1">IF($AR10&gt;0,$C$5-$AR10,$C$5-'Base Information Sheet'!$B$15)</f>
        <v>2026</v>
      </c>
      <c r="AU10" s="737">
        <f>IF($AR10&gt;0,$AR10+$AS10,'Base Information Sheet'!$B$15+'Physical Condition Assessment'!$AS10)</f>
        <v>100</v>
      </c>
      <c r="AV10" s="738">
        <f ca="1">IF($N10="x",0,IF($AU10&lt;=$C$5,'Physical Condition Assessment'!$AP10,0))</f>
        <v>0</v>
      </c>
      <c r="AW10" s="738">
        <f ca="1">IF(AV10&gt;0,0,IF($N10="x",0,IF(($AU10-6)&lt;$C$5,'Physical Condition Assessment'!$AP10,0)))</f>
        <v>0</v>
      </c>
      <c r="AX10" s="738">
        <f ca="1">IF(SUM(AV10:AW10)&gt;0,0,IF($N10="x",0,IF(($AU10-11)&lt;$C$5,'Physical Condition Assessment'!$AP10,0)))</f>
        <v>0</v>
      </c>
      <c r="AY10" s="738">
        <f ca="1">IF(SUM(AV10:AX10)&gt;0,0,IF($N10="x",0,IF(($AU10-16)&lt;$C$5,'Physical Condition Assessment'!$AP10,0)))</f>
        <v>0</v>
      </c>
    </row>
    <row r="11" spans="1:56" ht="16" thickBot="1" x14ac:dyDescent="0.25">
      <c r="A11" s="755" t="s">
        <v>66</v>
      </c>
      <c r="B11" s="756" t="s">
        <v>67</v>
      </c>
      <c r="C11" s="502" t="s">
        <v>73</v>
      </c>
      <c r="D11" s="764"/>
      <c r="E11" s="728"/>
      <c r="F11" s="729"/>
      <c r="G11" s="537" t="s">
        <v>41</v>
      </c>
      <c r="H11" s="732"/>
      <c r="I11" s="537" t="s">
        <v>42</v>
      </c>
      <c r="J11" s="732"/>
      <c r="K11" s="537" t="s">
        <v>43</v>
      </c>
      <c r="L11" s="732"/>
      <c r="M11" s="537" t="s">
        <v>44</v>
      </c>
      <c r="N11" s="5"/>
      <c r="O11" s="537" t="s">
        <v>52</v>
      </c>
      <c r="P11" s="5"/>
      <c r="Q11" s="3" t="s">
        <v>52</v>
      </c>
      <c r="R11" s="783"/>
      <c r="S11" s="784">
        <f>'Base Information Sheet'!$B$23*'Physical Condition Assessment'!E11*'PCA Cost Tables - READ ONLY'!P11*'Physical Condition Assessment'!R11*'Base Information Sheet'!$B$38*'Base Information Sheet'!$B$37</f>
        <v>0</v>
      </c>
      <c r="T11" s="785"/>
      <c r="U11" t="s">
        <v>74</v>
      </c>
      <c r="V11" s="502" t="s">
        <v>70</v>
      </c>
      <c r="W11" s="851"/>
      <c r="X11" s="851"/>
      <c r="Y11" s="851"/>
      <c r="Z11" s="851"/>
      <c r="AE11" s="475" t="s">
        <v>71</v>
      </c>
      <c r="AF11" s="475" t="s">
        <v>72</v>
      </c>
      <c r="AG11" s="475"/>
      <c r="AH11" s="476">
        <f>_xlfn.XLOOKUP($U11,'PCA Cost Tables - READ ONLY'!$E$10:$E$172,'PCA Cost Tables - READ ONLY'!$F$10:$F$172,"BLANK",0)</f>
        <v>0.65490000000000004</v>
      </c>
      <c r="AI11" s="476">
        <f>_xlfn.XLOOKUP($U11,'PCA Cost Tables - READ ONLY'!$E$10:$E$172,'PCA Cost Tables - READ ONLY'!$H$10:$H$172,"BLANK",0)</f>
        <v>19.647000000000002</v>
      </c>
      <c r="AJ11" s="476">
        <f>_xlfn.XLOOKUP($U11,'PCA Cost Tables - READ ONLY'!$E$10:$E$172,'PCA Cost Tables - READ ONLY'!$J$10:$J$172,"BLANK",0)</f>
        <v>46.209744000000001</v>
      </c>
      <c r="AK11" s="476">
        <f>_xlfn.XLOOKUP($U11,'PCA Cost Tables - READ ONLY'!$E$10:$E$172,'PCA Cost Tables - READ ONLY'!$L$10:$L$172,"BLANK",0)</f>
        <v>0</v>
      </c>
      <c r="AL11" s="477">
        <f>IF($AE11="SF",IF($AF11="X",'Base Information Sheet'!$B$23*'Physical Condition Assessment'!$E11*'Physical Condition Assessment'!$AJ11,"-"))</f>
        <v>0</v>
      </c>
      <c r="AM11" s="477" t="str">
        <f>IF($AE11="SF",IF($AG11="X",'Base Information Sheet'!$B$23*'Physical Condition Assessment'!$E11*'Physical Condition Assessment'!$AK11,"-"))</f>
        <v>-</v>
      </c>
      <c r="AN11" s="477" t="b">
        <f>IF($AE11="Unit",IF($AF11="X",'Physical Condition Assessment'!$E11*'Physical Condition Assessment'!$AJ11,"-"))</f>
        <v>0</v>
      </c>
      <c r="AO11" s="477" t="b">
        <f>IF($AE11="Unit",IF($AG11="X",'Physical Condition Assessment'!$E11*'Physical Condition Assessment'!$AK11,"-"))</f>
        <v>0</v>
      </c>
      <c r="AP11" s="477">
        <f t="shared" ref="AP11:AP74" si="0">SUMIF(AL11:AO11,"&gt;0",AL11:AO11)*$AK$2*$AK$3</f>
        <v>0</v>
      </c>
      <c r="AQ11" s="478" t="e">
        <f t="shared" ref="AQ11:AQ74" si="1">S11/AP11</f>
        <v>#DIV/0!</v>
      </c>
      <c r="AR11" s="734"/>
      <c r="AS11" s="734">
        <v>100</v>
      </c>
      <c r="AT11" s="737">
        <f ca="1">IF($AR11&gt;0,$C$5-$AR11,$C$5-'Base Information Sheet'!$B$15)</f>
        <v>2026</v>
      </c>
      <c r="AU11" s="737">
        <f>IF($AR11&gt;0,$AR11+$AS11,'Base Information Sheet'!$B$15+'Physical Condition Assessment'!$AS11)</f>
        <v>100</v>
      </c>
      <c r="AV11" s="738">
        <f ca="1">IF($N11="x",0,IF($AU11&lt;=$C$5,'Physical Condition Assessment'!$AP11,0))</f>
        <v>0</v>
      </c>
      <c r="AW11" s="738">
        <f ca="1">IF(AV11&gt;0,0,IF($N11="x",0,IF(($AU11-6)&lt;$C$5,'Physical Condition Assessment'!$AP11,0)))</f>
        <v>0</v>
      </c>
      <c r="AX11" s="738">
        <f ca="1">IF(SUM(AV11:AW11)&gt;0,0,IF($N11="x",0,IF(($AU11-11)&lt;$C$5,'Physical Condition Assessment'!$AP11,0)))</f>
        <v>0</v>
      </c>
      <c r="AY11" s="738">
        <f ca="1">IF(SUM(AV11:AX11)&gt;0,0,IF($N11="x",0,IF(($AU11-16)&lt;$C$5,'Physical Condition Assessment'!$AP11,0)))</f>
        <v>0</v>
      </c>
    </row>
    <row r="12" spans="1:56" ht="16" thickBot="1" x14ac:dyDescent="0.25">
      <c r="A12" s="755" t="s">
        <v>66</v>
      </c>
      <c r="B12" s="756" t="s">
        <v>67</v>
      </c>
      <c r="C12" s="502" t="s">
        <v>75</v>
      </c>
      <c r="D12" s="764"/>
      <c r="E12" s="728"/>
      <c r="F12" s="729"/>
      <c r="G12" s="537" t="s">
        <v>41</v>
      </c>
      <c r="H12" s="732"/>
      <c r="I12" s="537" t="s">
        <v>42</v>
      </c>
      <c r="J12" s="732"/>
      <c r="K12" s="537" t="s">
        <v>43</v>
      </c>
      <c r="L12" s="732"/>
      <c r="M12" s="537" t="s">
        <v>44</v>
      </c>
      <c r="N12" s="5"/>
      <c r="O12" s="537" t="s">
        <v>52</v>
      </c>
      <c r="P12" s="5"/>
      <c r="Q12" s="3" t="s">
        <v>52</v>
      </c>
      <c r="R12" s="783"/>
      <c r="S12" s="784">
        <f>'Base Information Sheet'!$B$23*'Physical Condition Assessment'!E12*'PCA Cost Tables - READ ONLY'!P12*'Physical Condition Assessment'!R12*'Base Information Sheet'!$B$38*'Base Information Sheet'!$B$37</f>
        <v>0</v>
      </c>
      <c r="T12" s="786"/>
      <c r="U12" t="s">
        <v>76</v>
      </c>
      <c r="V12" s="502" t="s">
        <v>70</v>
      </c>
      <c r="Z12" s="504"/>
      <c r="AE12" s="475" t="s">
        <v>71</v>
      </c>
      <c r="AF12" s="475" t="s">
        <v>72</v>
      </c>
      <c r="AG12" s="475"/>
      <c r="AH12" s="476">
        <f>_xlfn.XLOOKUP($U12,'PCA Cost Tables - READ ONLY'!$E$10:$E$172,'PCA Cost Tables - READ ONLY'!$F$10:$F$172,"BLANK",0)</f>
        <v>2.7898739999999997</v>
      </c>
      <c r="AI12" s="476">
        <f>_xlfn.XLOOKUP($U12,'PCA Cost Tables - READ ONLY'!$E$10:$E$172,'PCA Cost Tables - READ ONLY'!$H$10:$H$172,"BLANK",0)</f>
        <v>12.443100000000001</v>
      </c>
      <c r="AJ12" s="476">
        <f>_xlfn.XLOOKUP($U12,'PCA Cost Tables - READ ONLY'!$E$10:$E$172,'PCA Cost Tables - READ ONLY'!$J$10:$J$172,"BLANK",0)</f>
        <v>34.709699999999998</v>
      </c>
      <c r="AK12" s="476">
        <f>_xlfn.XLOOKUP($U12,'PCA Cost Tables - READ ONLY'!$E$10:$E$172,'PCA Cost Tables - READ ONLY'!$L$10:$L$172,"BLANK",0)</f>
        <v>0</v>
      </c>
      <c r="AL12" s="477">
        <f>IF($AE12="SF",IF($AF12="X",'Base Information Sheet'!$B$23*'Physical Condition Assessment'!$E12*'Physical Condition Assessment'!$AJ12,"-"))</f>
        <v>0</v>
      </c>
      <c r="AM12" s="477" t="str">
        <f>IF($AE12="SF",IF($AG12="X",'Base Information Sheet'!$B$23*'Physical Condition Assessment'!$E12*'Physical Condition Assessment'!$AK12,"-"))</f>
        <v>-</v>
      </c>
      <c r="AN12" s="477" t="b">
        <f>IF($AE12="Unit",IF($AF12="X",'Physical Condition Assessment'!$E12*'Physical Condition Assessment'!$AJ12,"-"))</f>
        <v>0</v>
      </c>
      <c r="AO12" s="477" t="b">
        <f>IF($AE12="Unit",IF($AG12="X",'Physical Condition Assessment'!$E12*'Physical Condition Assessment'!$AK12,"-"))</f>
        <v>0</v>
      </c>
      <c r="AP12" s="477">
        <f t="shared" si="0"/>
        <v>0</v>
      </c>
      <c r="AQ12" s="478" t="e">
        <f t="shared" si="1"/>
        <v>#DIV/0!</v>
      </c>
      <c r="AR12" s="734"/>
      <c r="AS12" s="734">
        <v>100</v>
      </c>
      <c r="AT12" s="737">
        <f ca="1">IF($AR12&gt;0,$C$5-$AR12,$C$5-'Base Information Sheet'!$B$15)</f>
        <v>2026</v>
      </c>
      <c r="AU12" s="737">
        <f>IF($AR12&gt;0,$AR12+$AS12,'Base Information Sheet'!$B$15+'Physical Condition Assessment'!$AS12)</f>
        <v>100</v>
      </c>
      <c r="AV12" s="738">
        <f ca="1">IF($N12="x",0,IF($AU12&lt;=$C$5,'Physical Condition Assessment'!$AP12,0))</f>
        <v>0</v>
      </c>
      <c r="AW12" s="738">
        <f ca="1">IF(AV12&gt;0,0,IF($N12="x",0,IF(($AU12-6)&lt;$C$5,'Physical Condition Assessment'!$AP12,0)))</f>
        <v>0</v>
      </c>
      <c r="AX12" s="738">
        <f ca="1">IF(SUM(AV12:AW12)&gt;0,0,IF($N12="x",0,IF(($AU12-11)&lt;$C$5,'Physical Condition Assessment'!$AP12,0)))</f>
        <v>0</v>
      </c>
      <c r="AY12" s="738">
        <f ca="1">IF(SUM(AV12:AX12)&gt;0,0,IF($N12="x",0,IF(($AU12-16)&lt;$C$5,'Physical Condition Assessment'!$AP12,0)))</f>
        <v>0</v>
      </c>
    </row>
    <row r="13" spans="1:56" ht="16" thickBot="1" x14ac:dyDescent="0.25">
      <c r="A13" s="755" t="s">
        <v>66</v>
      </c>
      <c r="B13" s="756" t="s">
        <v>67</v>
      </c>
      <c r="E13" s="766"/>
      <c r="P13" s="1"/>
      <c r="Q13" s="3"/>
      <c r="R13" s="787"/>
      <c r="S13" s="469"/>
      <c r="T13" s="788"/>
      <c r="U13"/>
      <c r="W13" s="851"/>
      <c r="X13" s="851"/>
      <c r="Y13" s="851"/>
      <c r="Z13" s="851"/>
      <c r="AE13" s="479"/>
      <c r="AF13" s="480"/>
      <c r="AG13" s="480"/>
      <c r="AH13" s="480"/>
      <c r="AI13" s="480"/>
      <c r="AJ13" s="481"/>
      <c r="AK13" s="481"/>
      <c r="AL13" s="480"/>
      <c r="AM13" s="480"/>
      <c r="AN13" s="480"/>
      <c r="AO13" s="480"/>
      <c r="AP13" s="482"/>
      <c r="AQ13" s="482"/>
      <c r="AR13" s="739"/>
      <c r="AS13" s="739"/>
      <c r="AT13" s="740"/>
      <c r="AU13" s="741"/>
      <c r="AV13" s="741"/>
      <c r="AW13" s="741"/>
      <c r="AX13" s="741"/>
      <c r="AY13" s="742"/>
    </row>
    <row r="14" spans="1:56" ht="14.75" hidden="1" customHeight="1" thickBot="1" x14ac:dyDescent="0.25">
      <c r="A14" s="755" t="s">
        <v>66</v>
      </c>
      <c r="B14" s="756" t="s">
        <v>67</v>
      </c>
      <c r="C14" s="502" t="s">
        <v>77</v>
      </c>
      <c r="D14" s="502" t="s">
        <v>78</v>
      </c>
      <c r="E14" s="465"/>
      <c r="F14" s="466"/>
      <c r="G14" s="537" t="s">
        <v>41</v>
      </c>
      <c r="H14" s="5"/>
      <c r="I14" s="537" t="s">
        <v>42</v>
      </c>
      <c r="J14" s="5"/>
      <c r="K14" s="537" t="s">
        <v>43</v>
      </c>
      <c r="L14" s="5"/>
      <c r="M14" s="537" t="s">
        <v>44</v>
      </c>
      <c r="N14" s="5"/>
      <c r="O14" s="3" t="s">
        <v>52</v>
      </c>
      <c r="P14" s="5"/>
      <c r="Q14" s="3" t="s">
        <v>52</v>
      </c>
      <c r="R14" s="789"/>
      <c r="S14" s="790"/>
      <c r="T14" s="791"/>
      <c r="U14"/>
      <c r="W14" s="851"/>
      <c r="X14" s="851"/>
      <c r="Y14" s="851"/>
      <c r="Z14" s="851"/>
      <c r="AE14" s="485"/>
      <c r="AF14" s="486"/>
      <c r="AG14" s="486"/>
      <c r="AH14" s="486"/>
      <c r="AI14" s="486"/>
      <c r="AJ14" s="487"/>
      <c r="AK14" s="487"/>
      <c r="AL14" s="486"/>
      <c r="AM14" s="486"/>
      <c r="AN14" s="486"/>
      <c r="AO14" s="486"/>
      <c r="AP14" s="488"/>
      <c r="AQ14" s="488"/>
      <c r="AR14" s="706"/>
      <c r="AS14" s="706"/>
      <c r="AT14" s="489"/>
      <c r="AU14" s="488"/>
      <c r="AV14" s="488"/>
      <c r="AW14" s="488"/>
      <c r="AX14" s="488"/>
      <c r="AY14" s="490"/>
    </row>
    <row r="15" spans="1:56" ht="16" thickBot="1" x14ac:dyDescent="0.25">
      <c r="A15" s="755" t="s">
        <v>66</v>
      </c>
      <c r="B15" s="756" t="s">
        <v>67</v>
      </c>
      <c r="C15" s="502" t="s">
        <v>79</v>
      </c>
      <c r="D15" s="765"/>
      <c r="E15" s="728"/>
      <c r="F15" s="729"/>
      <c r="G15" s="537" t="s">
        <v>41</v>
      </c>
      <c r="H15" s="732"/>
      <c r="I15" s="537" t="s">
        <v>42</v>
      </c>
      <c r="J15" s="732"/>
      <c r="K15" s="537" t="s">
        <v>43</v>
      </c>
      <c r="L15" s="732"/>
      <c r="M15" s="537" t="s">
        <v>44</v>
      </c>
      <c r="N15" s="5"/>
      <c r="O15" s="537" t="s">
        <v>52</v>
      </c>
      <c r="P15" s="5"/>
      <c r="Q15" s="3" t="s">
        <v>52</v>
      </c>
      <c r="R15" s="783"/>
      <c r="S15" s="784">
        <f>'Base Information Sheet'!$B$23*'Physical Condition Assessment'!E15*'PCA Cost Tables - READ ONLY'!P15*'Physical Condition Assessment'!R15*'Base Information Sheet'!$B$38*'Base Information Sheet'!$B$37</f>
        <v>0</v>
      </c>
      <c r="T15" s="786"/>
      <c r="U15" t="s">
        <v>80</v>
      </c>
      <c r="V15" s="502" t="s">
        <v>70</v>
      </c>
      <c r="Z15" s="504"/>
      <c r="AE15" s="475" t="s">
        <v>71</v>
      </c>
      <c r="AF15" s="475" t="s">
        <v>72</v>
      </c>
      <c r="AG15" s="475"/>
      <c r="AH15" s="476">
        <f>_xlfn.XLOOKUP($U15,'PCA Cost Tables - READ ONLY'!$E$10:$E$172,'PCA Cost Tables - READ ONLY'!$F$10:$F$172,"BLANK",0)</f>
        <v>0.87756600000000007</v>
      </c>
      <c r="AI15" s="476">
        <f>_xlfn.XLOOKUP($U15,'PCA Cost Tables - READ ONLY'!$E$10:$E$172,'PCA Cost Tables - READ ONLY'!$H$10:$H$172,"BLANK",0)</f>
        <v>2.7898739999999997</v>
      </c>
      <c r="AJ15" s="476">
        <f>_xlfn.XLOOKUP($U15,'PCA Cost Tables - READ ONLY'!$E$10:$E$172,'PCA Cost Tables - READ ONLY'!$J$10:$J$172,"BLANK",0)</f>
        <v>11.735808000000002</v>
      </c>
      <c r="AK15" s="476">
        <f>_xlfn.XLOOKUP($U15,'PCA Cost Tables - READ ONLY'!$E$10:$E$172,'PCA Cost Tables - READ ONLY'!$L$10:$L$172,"BLANK",0)</f>
        <v>0</v>
      </c>
      <c r="AL15" s="477">
        <f>IF($AE15="SF",IF($AF15="X",'Base Information Sheet'!$B$23*'Physical Condition Assessment'!$E15*'Physical Condition Assessment'!$AJ15,"-"))</f>
        <v>0</v>
      </c>
      <c r="AM15" s="477" t="str">
        <f>IF($AE15="SF",IF($AG15="X",'Base Information Sheet'!$B$23*'Physical Condition Assessment'!$E15*'Physical Condition Assessment'!$AK15,"-"))</f>
        <v>-</v>
      </c>
      <c r="AN15" s="477" t="b">
        <f>IF($AE15="Unit",IF($AF15="X",'Physical Condition Assessment'!$E15*'Physical Condition Assessment'!$AJ15,"-"))</f>
        <v>0</v>
      </c>
      <c r="AO15" s="477" t="b">
        <f>IF($AE15="Unit",IF($AG15="X",'Physical Condition Assessment'!$E15*'Physical Condition Assessment'!$AK15,"-"))</f>
        <v>0</v>
      </c>
      <c r="AP15" s="477">
        <f t="shared" si="0"/>
        <v>0</v>
      </c>
      <c r="AQ15" s="477" t="e">
        <f t="shared" si="1"/>
        <v>#DIV/0!</v>
      </c>
      <c r="AR15" s="734"/>
      <c r="AS15" s="734">
        <v>100</v>
      </c>
      <c r="AT15" s="737">
        <f ca="1">IF($AR15&gt;0,$C$5-$AR15,$C$5-'Base Information Sheet'!$B$15)</f>
        <v>2026</v>
      </c>
      <c r="AU15" s="737">
        <f>IF($AR15&gt;0,$AR15+$AS15,'Base Information Sheet'!$B$15+'Physical Condition Assessment'!$AS15)</f>
        <v>100</v>
      </c>
      <c r="AV15" s="738">
        <f ca="1">IF($N15="x",0,IF($AU15&lt;=$C$5,'Physical Condition Assessment'!$AP15,0))</f>
        <v>0</v>
      </c>
      <c r="AW15" s="738">
        <f ca="1">IF(AV15&gt;0,0,IF($N15="x",0,IF(($AU15-6)&lt;$C$5,'Physical Condition Assessment'!$AP15,0)))</f>
        <v>0</v>
      </c>
      <c r="AX15" s="738">
        <f ca="1">IF(SUM(AV15:AW15)&gt;0,0,IF($N15="x",0,IF(($AU15-11)&lt;$C$5,'Physical Condition Assessment'!$AP15,0)))</f>
        <v>0</v>
      </c>
      <c r="AY15" s="738">
        <f ca="1">IF(SUM(AV15:AX15)&gt;0,0,IF($N15="x",0,IF(($AU15-16)&lt;$C$5,'Physical Condition Assessment'!$AP15,0)))</f>
        <v>0</v>
      </c>
    </row>
    <row r="16" spans="1:56" x14ac:dyDescent="0.2">
      <c r="A16" s="757" t="s">
        <v>27</v>
      </c>
      <c r="B16" s="761"/>
      <c r="C16" s="95"/>
      <c r="D16" s="95"/>
      <c r="E16" s="762"/>
      <c r="F16" s="758"/>
      <c r="G16" s="759"/>
      <c r="H16" s="758"/>
      <c r="I16" s="759"/>
      <c r="J16" s="758"/>
      <c r="K16" s="759"/>
      <c r="L16" s="758"/>
      <c r="M16" s="758"/>
      <c r="N16" s="758"/>
      <c r="O16" s="759"/>
      <c r="P16" s="758"/>
      <c r="Q16" s="759"/>
      <c r="R16" s="792"/>
      <c r="S16" s="497"/>
      <c r="T16" s="793"/>
      <c r="U16" s="15"/>
      <c r="Z16" s="504"/>
      <c r="AE16" s="479"/>
      <c r="AF16" s="480"/>
      <c r="AG16" s="480"/>
      <c r="AH16" s="480"/>
      <c r="AI16" s="480"/>
      <c r="AJ16" s="481"/>
      <c r="AK16" s="481"/>
      <c r="AL16" s="480"/>
      <c r="AM16" s="480"/>
      <c r="AN16" s="480"/>
      <c r="AO16" s="480"/>
      <c r="AP16" s="482"/>
      <c r="AQ16" s="482"/>
      <c r="AR16" s="739"/>
      <c r="AS16" s="739"/>
      <c r="AT16" s="740"/>
      <c r="AU16" s="741"/>
      <c r="AV16" s="741"/>
      <c r="AW16" s="741"/>
      <c r="AX16" s="741"/>
      <c r="AY16" s="742"/>
    </row>
    <row r="17" spans="1:52" ht="16" thickBot="1" x14ac:dyDescent="0.25">
      <c r="A17" s="755"/>
      <c r="B17" s="767" t="s">
        <v>81</v>
      </c>
      <c r="C17" s="502" t="s">
        <v>79</v>
      </c>
      <c r="E17" s="766"/>
      <c r="R17" s="787"/>
      <c r="S17" s="469"/>
      <c r="T17" s="788"/>
      <c r="U17"/>
      <c r="Z17" s="504"/>
      <c r="AE17" s="485"/>
      <c r="AF17" s="486"/>
      <c r="AG17" s="486"/>
      <c r="AH17" s="486"/>
      <c r="AI17" s="486"/>
      <c r="AJ17" s="487"/>
      <c r="AK17" s="487"/>
      <c r="AL17" s="486"/>
      <c r="AM17" s="486"/>
      <c r="AN17" s="486"/>
      <c r="AO17" s="486"/>
      <c r="AP17" s="488"/>
      <c r="AQ17" s="488"/>
      <c r="AR17" s="743"/>
      <c r="AS17" s="743"/>
      <c r="AT17" s="744"/>
      <c r="AU17" s="745"/>
      <c r="AV17" s="745"/>
      <c r="AW17" s="745"/>
      <c r="AX17" s="745"/>
      <c r="AY17" s="746"/>
    </row>
    <row r="18" spans="1:52" ht="16" thickBot="1" x14ac:dyDescent="0.25">
      <c r="A18" s="755" t="s">
        <v>27</v>
      </c>
      <c r="B18" s="756" t="s">
        <v>81</v>
      </c>
      <c r="C18" s="502" t="s">
        <v>82</v>
      </c>
      <c r="D18" s="537" t="s">
        <v>83</v>
      </c>
      <c r="E18" s="728"/>
      <c r="F18" s="729"/>
      <c r="G18" s="537" t="s">
        <v>41</v>
      </c>
      <c r="H18" s="732"/>
      <c r="I18" s="537" t="s">
        <v>42</v>
      </c>
      <c r="J18" s="732"/>
      <c r="K18" s="537" t="s">
        <v>43</v>
      </c>
      <c r="L18" s="732"/>
      <c r="M18" s="537" t="s">
        <v>44</v>
      </c>
      <c r="N18" s="732"/>
      <c r="O18" s="537" t="s">
        <v>52</v>
      </c>
      <c r="P18" s="2"/>
      <c r="Q18" s="3" t="s">
        <v>52</v>
      </c>
      <c r="R18" s="783"/>
      <c r="S18" s="784">
        <f>'Base Information Sheet'!$B$23*'Physical Condition Assessment'!E18*'PCA Cost Tables - READ ONLY'!P18*'Physical Condition Assessment'!R18*'Base Information Sheet'!$B$38*'Base Information Sheet'!$B$37</f>
        <v>0</v>
      </c>
      <c r="T18" s="786"/>
      <c r="U18" t="s">
        <v>84</v>
      </c>
      <c r="V18" s="502" t="s">
        <v>85</v>
      </c>
      <c r="Z18" s="504"/>
      <c r="AE18" s="475" t="s">
        <v>71</v>
      </c>
      <c r="AF18" s="475"/>
      <c r="AG18" s="475" t="s">
        <v>72</v>
      </c>
      <c r="AH18" s="476">
        <f>_xlfn.XLOOKUP($U18,'PCA Cost Tables - READ ONLY'!$E$10:$E$172,'PCA Cost Tables - READ ONLY'!$F$10:$F$172,"BLANK",0)</f>
        <v>5.3624999999999998</v>
      </c>
      <c r="AI18" s="476">
        <f>_xlfn.XLOOKUP($U18,'PCA Cost Tables - READ ONLY'!$E$10:$E$172,'PCA Cost Tables - READ ONLY'!$H$10:$H$172,"BLANK",0)</f>
        <v>12.012</v>
      </c>
      <c r="AJ18" s="476">
        <f>_xlfn.XLOOKUP($U18,'PCA Cost Tables - READ ONLY'!$E$10:$E$172,'PCA Cost Tables - READ ONLY'!$J$10:$J$172,"BLANK",0)</f>
        <v>76.862499999999997</v>
      </c>
      <c r="AK18" s="476">
        <f>_xlfn.XLOOKUP($U18,'PCA Cost Tables - READ ONLY'!$E$10:$E$172,'PCA Cost Tables - READ ONLY'!$L$10:$L$172,"BLANK",0)</f>
        <v>201.98749999999998</v>
      </c>
      <c r="AL18" s="477" t="str">
        <f>IF($AE18="SF",IF($AF18="X",'Base Information Sheet'!$B$23*'Physical Condition Assessment'!$E18*'Physical Condition Assessment'!$AJ18,"-"))</f>
        <v>-</v>
      </c>
      <c r="AM18" s="477">
        <f>IF($AE18="SF",IF($AG18="X",'Base Information Sheet'!$B$23*'Physical Condition Assessment'!$E18*'Physical Condition Assessment'!$AK18,"-"))</f>
        <v>0</v>
      </c>
      <c r="AN18" s="477" t="b">
        <f>IF($AE18="Unit",IF($AF18="X",'Physical Condition Assessment'!$E18*'Physical Condition Assessment'!$AJ18,"-"))</f>
        <v>0</v>
      </c>
      <c r="AO18" s="477" t="b">
        <f>IF($AE18="Unit",IF($AG18="X",'Physical Condition Assessment'!$E18*'Physical Condition Assessment'!$AK18,"-"))</f>
        <v>0</v>
      </c>
      <c r="AP18" s="477">
        <f t="shared" si="0"/>
        <v>0</v>
      </c>
      <c r="AQ18" s="478" t="e">
        <f t="shared" si="1"/>
        <v>#DIV/0!</v>
      </c>
      <c r="AR18" s="734"/>
      <c r="AS18" s="734">
        <v>50</v>
      </c>
      <c r="AT18" s="737">
        <f ca="1">IF($AR18&gt;0,$C$5-$AR18,$C$5-'Base Information Sheet'!$B$15)</f>
        <v>2026</v>
      </c>
      <c r="AU18" s="737">
        <f>IF($AR18&gt;0,$AR18+$AS18,'Base Information Sheet'!$B$15+'Physical Condition Assessment'!$AS18)</f>
        <v>50</v>
      </c>
      <c r="AV18" s="738">
        <f ca="1">IF($N18="x",0,IF($AU18&lt;=$C$5,'Physical Condition Assessment'!$AP18,0))</f>
        <v>0</v>
      </c>
      <c r="AW18" s="738">
        <f ca="1">IF(AV18&gt;0,0,IF($N18="x",0,IF(($AU18-6)&lt;$C$5,'Physical Condition Assessment'!$AP18,0)))</f>
        <v>0</v>
      </c>
      <c r="AX18" s="738">
        <f ca="1">IF(SUM(AV18:AW18)&gt;0,0,IF($N18="x",0,IF(($AU18-11)&lt;$C$5,'Physical Condition Assessment'!$AP18,0)))</f>
        <v>0</v>
      </c>
      <c r="AY18" s="738">
        <f ca="1">IF(SUM(AV18:AX18)&gt;0,0,IF($N18="x",0,IF(($AU18-16)&lt;$C$5,'Physical Condition Assessment'!$AP18,0)))</f>
        <v>0</v>
      </c>
    </row>
    <row r="19" spans="1:52" ht="16" thickBot="1" x14ac:dyDescent="0.25">
      <c r="A19" s="755" t="s">
        <v>27</v>
      </c>
      <c r="B19" s="756" t="s">
        <v>81</v>
      </c>
      <c r="C19" s="502" t="s">
        <v>82</v>
      </c>
      <c r="D19" s="537" t="s">
        <v>86</v>
      </c>
      <c r="E19" s="728"/>
      <c r="F19" s="729"/>
      <c r="G19" s="537" t="s">
        <v>41</v>
      </c>
      <c r="H19" s="732"/>
      <c r="I19" s="537" t="s">
        <v>42</v>
      </c>
      <c r="J19" s="732"/>
      <c r="K19" s="537" t="s">
        <v>43</v>
      </c>
      <c r="L19" s="732"/>
      <c r="M19" s="537" t="s">
        <v>44</v>
      </c>
      <c r="N19" s="732"/>
      <c r="O19" s="537" t="s">
        <v>52</v>
      </c>
      <c r="P19" s="2"/>
      <c r="Q19" s="3" t="s">
        <v>52</v>
      </c>
      <c r="R19" s="783"/>
      <c r="S19" s="784">
        <f>'Base Information Sheet'!$B$23*'Physical Condition Assessment'!E19*'PCA Cost Tables - READ ONLY'!P19*'Physical Condition Assessment'!R19*'Base Information Sheet'!$B$38*'Base Information Sheet'!$B$37</f>
        <v>0</v>
      </c>
      <c r="T19" s="786"/>
      <c r="U19" t="s">
        <v>87</v>
      </c>
      <c r="V19" s="502" t="s">
        <v>85</v>
      </c>
      <c r="AE19" s="475" t="s">
        <v>71</v>
      </c>
      <c r="AF19" s="475"/>
      <c r="AG19" s="475" t="s">
        <v>72</v>
      </c>
      <c r="AH19" s="476">
        <f>_xlfn.XLOOKUP($U19,'PCA Cost Tables - READ ONLY'!$E$10:$E$172,'PCA Cost Tables - READ ONLY'!$F$10:$F$172,"BLANK",0)</f>
        <v>7.7934999999999999</v>
      </c>
      <c r="AI19" s="476">
        <f>_xlfn.XLOOKUP($U19,'PCA Cost Tables - READ ONLY'!$E$10:$E$172,'PCA Cost Tables - READ ONLY'!$H$10:$H$172,"BLANK",0)</f>
        <v>15.315300000000001</v>
      </c>
      <c r="AJ19" s="476">
        <f>_xlfn.XLOOKUP($U19,'PCA Cost Tables - READ ONLY'!$E$10:$E$172,'PCA Cost Tables - READ ONLY'!$J$10:$J$172,"BLANK",0)</f>
        <v>81.324099999999987</v>
      </c>
      <c r="AK19" s="476">
        <f>_xlfn.XLOOKUP($U19,'PCA Cost Tables - READ ONLY'!$E$10:$E$172,'PCA Cost Tables - READ ONLY'!$L$10:$L$172,"BLANK",0)</f>
        <v>202.44509999999997</v>
      </c>
      <c r="AL19" s="477" t="str">
        <f>IF($AE19="SF",IF($AF19="X",'Base Information Sheet'!$B$23*'Physical Condition Assessment'!$E19*'Physical Condition Assessment'!$AJ19,"-"))</f>
        <v>-</v>
      </c>
      <c r="AM19" s="477">
        <f>IF($AE19="SF",IF($AG19="X",'Base Information Sheet'!$B$23*'Physical Condition Assessment'!$E19*'Physical Condition Assessment'!$AK19,"-"))</f>
        <v>0</v>
      </c>
      <c r="AN19" s="477" t="b">
        <f>IF($AE19="Unit",IF($AF19="X",'Physical Condition Assessment'!$E19*'Physical Condition Assessment'!$AJ19,"-"))</f>
        <v>0</v>
      </c>
      <c r="AO19" s="477" t="b">
        <f>IF($AE19="Unit",IF($AG19="X",'Physical Condition Assessment'!$E19*'Physical Condition Assessment'!$AK19,"-"))</f>
        <v>0</v>
      </c>
      <c r="AP19" s="477">
        <f t="shared" si="0"/>
        <v>0</v>
      </c>
      <c r="AQ19" s="478" t="e">
        <f t="shared" si="1"/>
        <v>#DIV/0!</v>
      </c>
      <c r="AR19" s="734"/>
      <c r="AS19" s="734">
        <v>100</v>
      </c>
      <c r="AT19" s="737">
        <f ca="1">IF($AR19&gt;0,$C$5-$AR19,$C$5-'Base Information Sheet'!$B$15)</f>
        <v>2026</v>
      </c>
      <c r="AU19" s="737">
        <f>IF($AR19&gt;0,$AR19+$AS19,'Base Information Sheet'!$B$15+'Physical Condition Assessment'!$AS19)</f>
        <v>100</v>
      </c>
      <c r="AV19" s="738">
        <f ca="1">IF($N19="x",0,IF($AU19&lt;=$C$5,'Physical Condition Assessment'!$AP19,0))</f>
        <v>0</v>
      </c>
      <c r="AW19" s="738">
        <f ca="1">IF(AV19&gt;0,0,IF($N19="x",0,IF(($AU19-6)&lt;$C$5,'Physical Condition Assessment'!$AP19,0)))</f>
        <v>0</v>
      </c>
      <c r="AX19" s="738">
        <f ca="1">IF(SUM(AV19:AW19)&gt;0,0,IF($N19="x",0,IF(($AU19-11)&lt;$C$5,'Physical Condition Assessment'!$AP19,0)))</f>
        <v>0</v>
      </c>
      <c r="AY19" s="738">
        <f ca="1">IF(SUM(AV19:AX19)&gt;0,0,IF($N19="x",0,IF(($AU19-16)&lt;$C$5,'Physical Condition Assessment'!$AP19,0)))</f>
        <v>0</v>
      </c>
    </row>
    <row r="20" spans="1:52" ht="16" thickBot="1" x14ac:dyDescent="0.25">
      <c r="A20" s="755" t="s">
        <v>27</v>
      </c>
      <c r="B20" s="756" t="s">
        <v>81</v>
      </c>
      <c r="C20" s="502" t="s">
        <v>82</v>
      </c>
      <c r="D20" s="537" t="s">
        <v>88</v>
      </c>
      <c r="E20" s="728"/>
      <c r="F20" s="729"/>
      <c r="G20" s="537" t="s">
        <v>41</v>
      </c>
      <c r="H20" s="732"/>
      <c r="I20" s="537" t="s">
        <v>42</v>
      </c>
      <c r="J20" s="732"/>
      <c r="K20" s="537" t="s">
        <v>43</v>
      </c>
      <c r="L20" s="732"/>
      <c r="M20" s="537" t="s">
        <v>44</v>
      </c>
      <c r="N20" s="732"/>
      <c r="O20" s="537" t="s">
        <v>52</v>
      </c>
      <c r="P20" s="2"/>
      <c r="Q20" s="3" t="s">
        <v>52</v>
      </c>
      <c r="R20" s="783"/>
      <c r="S20" s="784">
        <f>'Base Information Sheet'!$B$23*'Physical Condition Assessment'!E20*'PCA Cost Tables - READ ONLY'!P20*'Physical Condition Assessment'!R20*'Base Information Sheet'!$B$38*'Base Information Sheet'!$B$37</f>
        <v>0</v>
      </c>
      <c r="T20" s="786"/>
      <c r="U20" t="s">
        <v>89</v>
      </c>
      <c r="V20" s="502" t="s">
        <v>85</v>
      </c>
      <c r="AE20" s="475" t="s">
        <v>71</v>
      </c>
      <c r="AF20" s="475"/>
      <c r="AG20" s="475" t="s">
        <v>72</v>
      </c>
      <c r="AH20" s="476">
        <f>_xlfn.XLOOKUP($U20,'PCA Cost Tables - READ ONLY'!$E$10:$E$172,'PCA Cost Tables - READ ONLY'!$F$10:$F$172,"BLANK",0)</f>
        <v>9.1685999999999996</v>
      </c>
      <c r="AI20" s="476">
        <f>_xlfn.XLOOKUP($U20,'PCA Cost Tables - READ ONLY'!$E$10:$E$172,'PCA Cost Tables - READ ONLY'!$H$10:$H$172,"BLANK",0)</f>
        <v>18.337199999999999</v>
      </c>
      <c r="AJ20" s="476">
        <f>_xlfn.XLOOKUP($U20,'PCA Cost Tables - READ ONLY'!$E$10:$E$172,'PCA Cost Tables - READ ONLY'!$J$10:$J$172,"BLANK",0)</f>
        <v>69.419399999999996</v>
      </c>
      <c r="AK20" s="476">
        <f>_xlfn.XLOOKUP($U20,'PCA Cost Tables - READ ONLY'!$E$10:$E$172,'PCA Cost Tables - READ ONLY'!$L$10:$L$172,"BLANK",0)</f>
        <v>161.1054</v>
      </c>
      <c r="AL20" s="477" t="str">
        <f>IF($AE20="SF",IF($AF20="X",'Base Information Sheet'!$B$23*'Physical Condition Assessment'!$E20*'Physical Condition Assessment'!$AJ20,"-"))</f>
        <v>-</v>
      </c>
      <c r="AM20" s="477">
        <f>IF($AE20="SF",IF($AG20="X",'Base Information Sheet'!$B$23*'Physical Condition Assessment'!$E20*'Physical Condition Assessment'!$AK20,"-"))</f>
        <v>0</v>
      </c>
      <c r="AN20" s="477" t="b">
        <f>IF($AE20="Unit",IF($AF20="X",'Physical Condition Assessment'!$E20*'Physical Condition Assessment'!$AJ20,"-"))</f>
        <v>0</v>
      </c>
      <c r="AO20" s="477" t="b">
        <f>IF($AE20="Unit",IF($AG20="X",'Physical Condition Assessment'!$E20*'Physical Condition Assessment'!$AK20,"-"))</f>
        <v>0</v>
      </c>
      <c r="AP20" s="477">
        <f t="shared" si="0"/>
        <v>0</v>
      </c>
      <c r="AQ20" s="478" t="e">
        <f t="shared" si="1"/>
        <v>#DIV/0!</v>
      </c>
      <c r="AR20" s="734"/>
      <c r="AS20" s="734">
        <v>100</v>
      </c>
      <c r="AT20" s="737">
        <f ca="1">IF($AR20&gt;0,$C$5-$AR20,$C$5-'Base Information Sheet'!$B$15)</f>
        <v>2026</v>
      </c>
      <c r="AU20" s="737">
        <f>IF($AR20&gt;0,$AR20+$AS20,'Base Information Sheet'!$B$15+'Physical Condition Assessment'!$AS20)</f>
        <v>100</v>
      </c>
      <c r="AV20" s="738">
        <f ca="1">IF($N20="x",0,IF($AU20&lt;=$C$5,'Physical Condition Assessment'!$AP20,0))</f>
        <v>0</v>
      </c>
      <c r="AW20" s="738">
        <f ca="1">IF(AV20&gt;0,0,IF($N20="x",0,IF(($AU20-6)&lt;$C$5,'Physical Condition Assessment'!$AP20,0)))</f>
        <v>0</v>
      </c>
      <c r="AX20" s="738">
        <f ca="1">IF(SUM(AV20:AW20)&gt;0,0,IF($N20="x",0,IF(($AU20-11)&lt;$C$5,'Physical Condition Assessment'!$AP20,0)))</f>
        <v>0</v>
      </c>
      <c r="AY20" s="738">
        <f ca="1">IF(SUM(AV20:AX20)&gt;0,0,IF($N20="x",0,IF(($AU20-16)&lt;$C$5,'Physical Condition Assessment'!$AP20,0)))</f>
        <v>0</v>
      </c>
      <c r="AZ20" s="709"/>
    </row>
    <row r="21" spans="1:52" ht="16" thickBot="1" x14ac:dyDescent="0.25">
      <c r="A21" s="755" t="s">
        <v>27</v>
      </c>
      <c r="B21" s="756" t="s">
        <v>81</v>
      </c>
      <c r="C21" s="502" t="s">
        <v>91</v>
      </c>
      <c r="D21" s="537" t="s">
        <v>83</v>
      </c>
      <c r="E21" s="728"/>
      <c r="F21" s="729"/>
      <c r="G21" s="537" t="s">
        <v>41</v>
      </c>
      <c r="H21" s="732"/>
      <c r="I21" s="537" t="s">
        <v>42</v>
      </c>
      <c r="J21" s="732"/>
      <c r="K21" s="537" t="s">
        <v>43</v>
      </c>
      <c r="L21" s="732"/>
      <c r="M21" s="537" t="s">
        <v>44</v>
      </c>
      <c r="N21" s="732"/>
      <c r="O21" s="537" t="s">
        <v>52</v>
      </c>
      <c r="P21" s="2"/>
      <c r="Q21" s="3" t="s">
        <v>52</v>
      </c>
      <c r="R21" s="783"/>
      <c r="S21" s="784">
        <f>'Base Information Sheet'!$B$23*'Physical Condition Assessment'!E21*'PCA Cost Tables - READ ONLY'!P21*'Physical Condition Assessment'!R21*'Base Information Sheet'!$B$38*'Base Information Sheet'!$B$37</f>
        <v>0</v>
      </c>
      <c r="T21" s="786"/>
      <c r="U21" t="s">
        <v>92</v>
      </c>
      <c r="V21" s="502" t="s">
        <v>93</v>
      </c>
      <c r="AE21" s="475" t="s">
        <v>71</v>
      </c>
      <c r="AF21" s="475"/>
      <c r="AG21" s="475" t="s">
        <v>72</v>
      </c>
      <c r="AH21" s="476">
        <f>_xlfn.XLOOKUP($U21,'PCA Cost Tables - READ ONLY'!$E$10:$E$172,'PCA Cost Tables - READ ONLY'!$F$10:$F$172,"BLANK",0)</f>
        <v>5.8093750000000002</v>
      </c>
      <c r="AI21" s="476">
        <f>_xlfn.XLOOKUP($U21,'PCA Cost Tables - READ ONLY'!$E$10:$E$172,'PCA Cost Tables - READ ONLY'!$H$10:$H$172,"BLANK",0)</f>
        <v>13.620749999999999</v>
      </c>
      <c r="AJ21" s="476">
        <f>_xlfn.XLOOKUP($U21,'PCA Cost Tables - READ ONLY'!$E$10:$E$172,'PCA Cost Tables - READ ONLY'!$J$10:$J$172,"BLANK",0)</f>
        <v>58.987499999999997</v>
      </c>
      <c r="AK21" s="476">
        <f>_xlfn.XLOOKUP($U21,'PCA Cost Tables - READ ONLY'!$E$10:$E$172,'PCA Cost Tables - READ ONLY'!$L$10:$L$172,"BLANK",0)</f>
        <v>157.29999999999998</v>
      </c>
      <c r="AL21" s="477" t="str">
        <f>IF($AE21="SF",IF($AF21="X",'Base Information Sheet'!$B$23*'Physical Condition Assessment'!$E21*'Physical Condition Assessment'!$AJ21,"-"))</f>
        <v>-</v>
      </c>
      <c r="AM21" s="477">
        <f>IF($AE21="SF",IF($AG21="X",'Base Information Sheet'!$B$23*'Physical Condition Assessment'!$E21*'Physical Condition Assessment'!$AK21,"-"))</f>
        <v>0</v>
      </c>
      <c r="AN21" s="477" t="b">
        <f>IF($AE21="Unit",IF($AF21="X",'Physical Condition Assessment'!$E21*'Physical Condition Assessment'!$AJ21,"-"))</f>
        <v>0</v>
      </c>
      <c r="AO21" s="477" t="b">
        <f>IF($AE21="Unit",IF($AG21="X",'Physical Condition Assessment'!$E21*'Physical Condition Assessment'!$AK21,"-"))</f>
        <v>0</v>
      </c>
      <c r="AP21" s="477">
        <f t="shared" si="0"/>
        <v>0</v>
      </c>
      <c r="AQ21" s="478" t="e">
        <f t="shared" si="1"/>
        <v>#DIV/0!</v>
      </c>
      <c r="AR21" s="734"/>
      <c r="AS21" s="734">
        <v>30</v>
      </c>
      <c r="AT21" s="737">
        <f ca="1">IF($AR21&gt;0,$C$5-$AR21,$C$5-'Base Information Sheet'!$B$15)</f>
        <v>2026</v>
      </c>
      <c r="AU21" s="737">
        <f>IF($AR21&gt;0,$AR21+$AS21,'Base Information Sheet'!$B$15+'Physical Condition Assessment'!$AS21)</f>
        <v>30</v>
      </c>
      <c r="AV21" s="738">
        <f ca="1">IF($N21="x",0,IF($AU21&lt;=$C$5,'Physical Condition Assessment'!$AP21,0))</f>
        <v>0</v>
      </c>
      <c r="AW21" s="738">
        <f ca="1">IF(AV21&gt;0,0,IF($N21="x",0,IF(($AU21-6)&lt;$C$5,'Physical Condition Assessment'!$AP21,0)))</f>
        <v>0</v>
      </c>
      <c r="AX21" s="738">
        <f ca="1">IF(SUM(AV21:AW21)&gt;0,0,IF($N21="x",0,IF(($AU21-11)&lt;$C$5,'Physical Condition Assessment'!$AP21,0)))</f>
        <v>0</v>
      </c>
      <c r="AY21" s="738">
        <f ca="1">IF(SUM(AV21:AX21)&gt;0,0,IF($N21="x",0,IF(($AU21-16)&lt;$C$5,'Physical Condition Assessment'!$AP21,0)))</f>
        <v>0</v>
      </c>
    </row>
    <row r="22" spans="1:52" ht="16" thickBot="1" x14ac:dyDescent="0.25">
      <c r="A22" s="755" t="s">
        <v>27</v>
      </c>
      <c r="B22" s="756" t="s">
        <v>81</v>
      </c>
      <c r="C22" s="502" t="s">
        <v>91</v>
      </c>
      <c r="D22" s="537" t="s">
        <v>86</v>
      </c>
      <c r="E22" s="728"/>
      <c r="F22" s="729"/>
      <c r="G22" s="537" t="s">
        <v>41</v>
      </c>
      <c r="H22" s="732"/>
      <c r="I22" s="537" t="s">
        <v>42</v>
      </c>
      <c r="J22" s="732"/>
      <c r="K22" s="537" t="s">
        <v>43</v>
      </c>
      <c r="L22" s="732"/>
      <c r="M22" s="537" t="s">
        <v>44</v>
      </c>
      <c r="N22" s="732"/>
      <c r="O22" s="537" t="s">
        <v>52</v>
      </c>
      <c r="P22" s="2"/>
      <c r="Q22" s="3" t="s">
        <v>52</v>
      </c>
      <c r="R22" s="783"/>
      <c r="S22" s="784">
        <f>'Base Information Sheet'!$B$23*'Physical Condition Assessment'!E22*'PCA Cost Tables - READ ONLY'!P22*'Physical Condition Assessment'!R22*'Base Information Sheet'!$B$38*'Base Information Sheet'!$B$37</f>
        <v>0</v>
      </c>
      <c r="T22" s="786"/>
      <c r="U22" t="s">
        <v>94</v>
      </c>
      <c r="V22" s="502" t="s">
        <v>93</v>
      </c>
      <c r="AE22" s="475" t="s">
        <v>71</v>
      </c>
      <c r="AF22" s="475"/>
      <c r="AG22" s="475" t="s">
        <v>72</v>
      </c>
      <c r="AH22" s="476">
        <f>_xlfn.XLOOKUP($U22,'PCA Cost Tables - READ ONLY'!$E$10:$E$172,'PCA Cost Tables - READ ONLY'!$F$10:$F$172,"BLANK",0)</f>
        <v>8.4548750000000013</v>
      </c>
      <c r="AI22" s="476">
        <f>_xlfn.XLOOKUP($U22,'PCA Cost Tables - READ ONLY'!$E$10:$E$172,'PCA Cost Tables - READ ONLY'!$H$10:$H$172,"BLANK",0)</f>
        <v>16.820374999999999</v>
      </c>
      <c r="AJ22" s="476">
        <f>_xlfn.XLOOKUP($U22,'PCA Cost Tables - READ ONLY'!$E$10:$E$172,'PCA Cost Tables - READ ONLY'!$J$10:$J$172,"BLANK",0)</f>
        <v>66.137500000000003</v>
      </c>
      <c r="AK22" s="476">
        <f>_xlfn.XLOOKUP($U22,'PCA Cost Tables - READ ONLY'!$E$10:$E$172,'PCA Cost Tables - READ ONLY'!$L$10:$L$172,"BLANK",0)</f>
        <v>164.45</v>
      </c>
      <c r="AL22" s="477" t="str">
        <f>IF($AE22="SF",IF($AF22="X",'Base Information Sheet'!$B$23*'Physical Condition Assessment'!$E22*'Physical Condition Assessment'!$AJ22,"-"))</f>
        <v>-</v>
      </c>
      <c r="AM22" s="477">
        <f>IF($AE22="SF",IF($AG22="X",'Base Information Sheet'!$B$23*'Physical Condition Assessment'!$E22*'Physical Condition Assessment'!$AK22,"-"))</f>
        <v>0</v>
      </c>
      <c r="AN22" s="477" t="b">
        <f>IF($AE22="Unit",IF($AF22="X",'Physical Condition Assessment'!$E22*'Physical Condition Assessment'!$AJ22,"-"))</f>
        <v>0</v>
      </c>
      <c r="AO22" s="477" t="b">
        <f>IF($AE22="Unit",IF($AG22="X",'Physical Condition Assessment'!$E22*'Physical Condition Assessment'!$AK22,"-"))</f>
        <v>0</v>
      </c>
      <c r="AP22" s="477">
        <f t="shared" si="0"/>
        <v>0</v>
      </c>
      <c r="AQ22" s="478" t="e">
        <f t="shared" si="1"/>
        <v>#DIV/0!</v>
      </c>
      <c r="AR22" s="734"/>
      <c r="AS22" s="734">
        <v>100</v>
      </c>
      <c r="AT22" s="737">
        <f ca="1">IF($AR22&gt;0,$C$5-$AR22,$C$5-'Base Information Sheet'!$B$15)</f>
        <v>2026</v>
      </c>
      <c r="AU22" s="737">
        <f>IF($AR22&gt;0,$AR22+$AS22,'Base Information Sheet'!$B$15+'Physical Condition Assessment'!$AS22)</f>
        <v>100</v>
      </c>
      <c r="AV22" s="738">
        <f ca="1">IF($N22="x",0,IF($AU22&lt;=$C$5,'Physical Condition Assessment'!$AP22,0))</f>
        <v>0</v>
      </c>
      <c r="AW22" s="738">
        <f ca="1">IF(AV22&gt;0,0,IF($N22="x",0,IF(($AU22-6)&lt;$C$5,'Physical Condition Assessment'!$AP22,0)))</f>
        <v>0</v>
      </c>
      <c r="AX22" s="738">
        <f ca="1">IF(SUM(AV22:AW22)&gt;0,0,IF($N22="x",0,IF(($AU22-11)&lt;$C$5,'Physical Condition Assessment'!$AP22,0)))</f>
        <v>0</v>
      </c>
      <c r="AY22" s="738">
        <f ca="1">IF(SUM(AV22:AX22)&gt;0,0,IF($N22="x",0,IF(($AU22-16)&lt;$C$5,'Physical Condition Assessment'!$AP22,0)))</f>
        <v>0</v>
      </c>
    </row>
    <row r="23" spans="1:52" ht="16" thickBot="1" x14ac:dyDescent="0.25">
      <c r="A23" s="755" t="s">
        <v>27</v>
      </c>
      <c r="B23" s="756" t="s">
        <v>81</v>
      </c>
      <c r="C23" s="502" t="s">
        <v>91</v>
      </c>
      <c r="D23" s="537" t="s">
        <v>88</v>
      </c>
      <c r="E23" s="728"/>
      <c r="F23" s="729"/>
      <c r="G23" s="537" t="s">
        <v>41</v>
      </c>
      <c r="H23" s="732"/>
      <c r="I23" s="537" t="s">
        <v>42</v>
      </c>
      <c r="J23" s="732"/>
      <c r="K23" s="537" t="s">
        <v>43</v>
      </c>
      <c r="L23" s="732"/>
      <c r="M23" s="537" t="s">
        <v>44</v>
      </c>
      <c r="N23" s="732"/>
      <c r="O23" s="537" t="s">
        <v>52</v>
      </c>
      <c r="P23" s="2"/>
      <c r="Q23" s="3" t="s">
        <v>52</v>
      </c>
      <c r="R23" s="783"/>
      <c r="S23" s="784">
        <f>'Base Information Sheet'!$B$23*'Physical Condition Assessment'!E23*'PCA Cost Tables - READ ONLY'!P23*'Physical Condition Assessment'!R23*'Base Information Sheet'!$B$38*'Base Information Sheet'!$B$37</f>
        <v>0</v>
      </c>
      <c r="T23" s="786"/>
      <c r="U23" t="s">
        <v>95</v>
      </c>
      <c r="V23" s="502" t="s">
        <v>93</v>
      </c>
      <c r="AE23" s="475" t="s">
        <v>71</v>
      </c>
      <c r="AF23" s="475"/>
      <c r="AG23" s="475" t="s">
        <v>72</v>
      </c>
      <c r="AH23" s="476">
        <f>_xlfn.XLOOKUP($U23,'PCA Cost Tables - READ ONLY'!$E$10:$E$172,'PCA Cost Tables - READ ONLY'!$F$10:$F$172,"BLANK",0)</f>
        <v>9.8496959999999998</v>
      </c>
      <c r="AI23" s="476">
        <f>_xlfn.XLOOKUP($U23,'PCA Cost Tables - READ ONLY'!$E$10:$E$172,'PCA Cost Tables - READ ONLY'!$H$10:$H$172,"BLANK",0)</f>
        <v>20.537663999999999</v>
      </c>
      <c r="AJ23" s="476">
        <f>_xlfn.XLOOKUP($U23,'PCA Cost Tables - READ ONLY'!$E$10:$E$172,'PCA Cost Tables - READ ONLY'!$J$10:$J$172,"BLANK",0)</f>
        <v>56.321400000000004</v>
      </c>
      <c r="AK23" s="476">
        <f>_xlfn.XLOOKUP($U23,'PCA Cost Tables - READ ONLY'!$E$10:$E$172,'PCA Cost Tables - READ ONLY'!$L$10:$L$172,"BLANK",0)</f>
        <v>129.67020000000002</v>
      </c>
      <c r="AL23" s="477" t="str">
        <f>IF($AE23="SF",IF($AF23="X",'Base Information Sheet'!$B$23*'Physical Condition Assessment'!$E23*'Physical Condition Assessment'!$AJ23,"-"))</f>
        <v>-</v>
      </c>
      <c r="AM23" s="477">
        <f>IF($AE23="SF",IF($AG23="X",'Base Information Sheet'!$B$23*'Physical Condition Assessment'!$E23*'Physical Condition Assessment'!$AK23,"-"))</f>
        <v>0</v>
      </c>
      <c r="AN23" s="477" t="b">
        <f>IF($AE23="Unit",IF($AF23="X",'Physical Condition Assessment'!$E23*'Physical Condition Assessment'!$AJ23,"-"))</f>
        <v>0</v>
      </c>
      <c r="AO23" s="477" t="b">
        <f>IF($AE23="Unit",IF($AG23="X",'Physical Condition Assessment'!$E23*'Physical Condition Assessment'!$AK23,"-"))</f>
        <v>0</v>
      </c>
      <c r="AP23" s="477">
        <f t="shared" si="0"/>
        <v>0</v>
      </c>
      <c r="AQ23" s="478" t="e">
        <f t="shared" si="1"/>
        <v>#DIV/0!</v>
      </c>
      <c r="AR23" s="734"/>
      <c r="AS23" s="734">
        <v>50</v>
      </c>
      <c r="AT23" s="737">
        <f ca="1">IF($AR23&gt;0,$C$5-$AR23,$C$5-'Base Information Sheet'!$B$15)</f>
        <v>2026</v>
      </c>
      <c r="AU23" s="737">
        <f>IF($AR23&gt;0,$AR23+$AS23,'Base Information Sheet'!$B$15+'Physical Condition Assessment'!$AS23)</f>
        <v>50</v>
      </c>
      <c r="AV23" s="738">
        <f ca="1">IF($N23="x",0,IF($AU23&lt;=$C$5,'Physical Condition Assessment'!$AP23,0))</f>
        <v>0</v>
      </c>
      <c r="AW23" s="738">
        <f ca="1">IF(AV23&gt;0,0,IF($N23="x",0,IF(($AU23-6)&lt;$C$5,'Physical Condition Assessment'!$AP23,0)))</f>
        <v>0</v>
      </c>
      <c r="AX23" s="738">
        <f ca="1">IF(SUM(AV23:AW23)&gt;0,0,IF($N23="x",0,IF(($AU23-11)&lt;$C$5,'Physical Condition Assessment'!$AP23,0)))</f>
        <v>0</v>
      </c>
      <c r="AY23" s="738">
        <f ca="1">IF(SUM(AV23:AX23)&gt;0,0,IF($N23="x",0,IF(($AU23-16)&lt;$C$5,'Physical Condition Assessment'!$AP23,0)))</f>
        <v>0</v>
      </c>
    </row>
    <row r="24" spans="1:52" ht="16" thickBot="1" x14ac:dyDescent="0.25">
      <c r="A24" s="755"/>
      <c r="B24" s="767" t="s">
        <v>96</v>
      </c>
      <c r="E24" s="766"/>
      <c r="R24" s="787"/>
      <c r="S24" s="469"/>
      <c r="T24" s="788"/>
      <c r="U24"/>
      <c r="AE24" s="491"/>
      <c r="AF24" s="492"/>
      <c r="AG24" s="492"/>
      <c r="AH24" s="492"/>
      <c r="AI24" s="492"/>
      <c r="AJ24" s="493"/>
      <c r="AK24" s="493"/>
      <c r="AL24" s="492"/>
      <c r="AM24" s="492"/>
      <c r="AN24" s="492"/>
      <c r="AO24" s="492"/>
      <c r="AP24" s="494"/>
      <c r="AQ24" s="494"/>
      <c r="AR24" s="747"/>
      <c r="AS24" s="747"/>
      <c r="AT24" s="748"/>
      <c r="AU24" s="749"/>
      <c r="AV24" s="749"/>
      <c r="AW24" s="749"/>
      <c r="AX24" s="749"/>
      <c r="AY24" s="750"/>
    </row>
    <row r="25" spans="1:52" ht="16" thickBot="1" x14ac:dyDescent="0.25">
      <c r="A25" s="755" t="s">
        <v>27</v>
      </c>
      <c r="B25" s="618" t="s">
        <v>96</v>
      </c>
      <c r="C25" s="502" t="s">
        <v>97</v>
      </c>
      <c r="D25" s="537" t="s">
        <v>98</v>
      </c>
      <c r="E25" s="728"/>
      <c r="F25" s="729"/>
      <c r="G25" s="537" t="s">
        <v>41</v>
      </c>
      <c r="H25" s="732"/>
      <c r="I25" s="537" t="s">
        <v>42</v>
      </c>
      <c r="J25" s="732"/>
      <c r="K25" s="537" t="s">
        <v>43</v>
      </c>
      <c r="L25" s="732"/>
      <c r="M25" s="537" t="s">
        <v>44</v>
      </c>
      <c r="N25" s="5"/>
      <c r="O25" s="537" t="s">
        <v>52</v>
      </c>
      <c r="P25" s="5"/>
      <c r="Q25" s="3" t="s">
        <v>52</v>
      </c>
      <c r="R25" s="783"/>
      <c r="S25" s="784">
        <f>'Base Information Sheet'!$B$23*'Physical Condition Assessment'!E25*'PCA Cost Tables - READ ONLY'!P25*'Physical Condition Assessment'!R25*'Base Information Sheet'!$B$38*'Base Information Sheet'!$B$37</f>
        <v>0</v>
      </c>
      <c r="T25" s="786"/>
      <c r="U25" t="s">
        <v>99</v>
      </c>
      <c r="V25" s="502" t="s">
        <v>100</v>
      </c>
      <c r="AE25" s="475" t="s">
        <v>71</v>
      </c>
      <c r="AF25" s="475" t="s">
        <v>101</v>
      </c>
      <c r="AG25" s="475"/>
      <c r="AH25" s="476">
        <f>_xlfn.XLOOKUP($U25,'PCA Cost Tables - READ ONLY'!$E$10:$E$172,'PCA Cost Tables - READ ONLY'!$F$10:$F$172,"BLANK",0)</f>
        <v>4.25685</v>
      </c>
      <c r="AI25" s="476">
        <f>_xlfn.XLOOKUP($U25,'PCA Cost Tables - READ ONLY'!$E$10:$E$172,'PCA Cost Tables - READ ONLY'!$H$10:$H$172,"BLANK",0)</f>
        <v>6.1560600000000001</v>
      </c>
      <c r="AJ25" s="476">
        <f>_xlfn.XLOOKUP($U25,'PCA Cost Tables - READ ONLY'!$E$10:$E$172,'PCA Cost Tables - READ ONLY'!$J$10:$J$172,"BLANK",0)</f>
        <v>26.196000000000002</v>
      </c>
      <c r="AK25" s="476">
        <f>_xlfn.XLOOKUP($U25,'PCA Cost Tables - READ ONLY'!$E$10:$E$172,'PCA Cost Tables - READ ONLY'!$L$10:$L$172,"BLANK",0)</f>
        <v>0</v>
      </c>
      <c r="AL25" s="477">
        <f>IF($AE25="SF",IF($AF25="X",'Base Information Sheet'!$B$23*'Physical Condition Assessment'!$E25*'Physical Condition Assessment'!$AJ25,"-"))</f>
        <v>0</v>
      </c>
      <c r="AM25" s="477" t="str">
        <f>IF($AE25="SF",IF($AG25="X",'Base Information Sheet'!$B$23*'Physical Condition Assessment'!$E25*'Physical Condition Assessment'!$AK25,"-"))</f>
        <v>-</v>
      </c>
      <c r="AN25" s="477" t="b">
        <f>IF($AE25="Unit",IF($AF25="X",'Physical Condition Assessment'!$E25*'Physical Condition Assessment'!$AJ25,"-"))</f>
        <v>0</v>
      </c>
      <c r="AO25" s="477" t="b">
        <f>IF($AE25="Unit",IF($AG25="X",'Physical Condition Assessment'!$E25*'Physical Condition Assessment'!$AK25,"-"))</f>
        <v>0</v>
      </c>
      <c r="AP25" s="477">
        <f t="shared" si="0"/>
        <v>0</v>
      </c>
      <c r="AQ25" s="478" t="e">
        <f t="shared" si="1"/>
        <v>#DIV/0!</v>
      </c>
      <c r="AR25" s="734"/>
      <c r="AS25" s="734">
        <v>100</v>
      </c>
      <c r="AT25" s="737">
        <f ca="1">IF($AR25&gt;0,$C$5-$AR25,$C$5-'Base Information Sheet'!$B$15)</f>
        <v>2026</v>
      </c>
      <c r="AU25" s="737">
        <f>IF($AR25&gt;0,$AR25+$AS25,'Base Information Sheet'!$B$15+'Physical Condition Assessment'!$AS25)</f>
        <v>100</v>
      </c>
      <c r="AV25" s="738">
        <f ca="1">IF($N25="x",0,IF($AU25&lt;=$C$5,'Physical Condition Assessment'!$AP25,0))</f>
        <v>0</v>
      </c>
      <c r="AW25" s="738">
        <f ca="1">IF(AV25&gt;0,0,IF($N25="x",0,IF(($AU25-6)&lt;$C$5,'Physical Condition Assessment'!$AP25,0)))</f>
        <v>0</v>
      </c>
      <c r="AX25" s="738">
        <f ca="1">IF(SUM(AV25:AW25)&gt;0,0,IF($N25="x",0,IF(($AU25-11)&lt;$C$5,'Physical Condition Assessment'!$AP25,0)))</f>
        <v>0</v>
      </c>
      <c r="AY25" s="738">
        <f ca="1">IF(SUM(AV25:AX25)&gt;0,0,IF($N25="x",0,IF(($AU25-16)&lt;$C$5,'Physical Condition Assessment'!$AP25,0)))</f>
        <v>0</v>
      </c>
    </row>
    <row r="26" spans="1:52" ht="16" thickBot="1" x14ac:dyDescent="0.25">
      <c r="A26" s="755" t="s">
        <v>27</v>
      </c>
      <c r="B26" s="756" t="s">
        <v>96</v>
      </c>
      <c r="C26" s="502" t="s">
        <v>97</v>
      </c>
      <c r="D26" s="537" t="s">
        <v>102</v>
      </c>
      <c r="E26" s="728"/>
      <c r="F26" s="729"/>
      <c r="G26" s="537" t="s">
        <v>41</v>
      </c>
      <c r="H26" s="732"/>
      <c r="I26" s="537" t="s">
        <v>42</v>
      </c>
      <c r="J26" s="732"/>
      <c r="K26" s="537" t="s">
        <v>43</v>
      </c>
      <c r="L26" s="732"/>
      <c r="M26" s="537" t="s">
        <v>44</v>
      </c>
      <c r="N26" s="732"/>
      <c r="O26" s="537" t="s">
        <v>52</v>
      </c>
      <c r="P26" s="2"/>
      <c r="Q26" s="3" t="s">
        <v>52</v>
      </c>
      <c r="R26" s="783"/>
      <c r="S26" s="784">
        <f>'Base Information Sheet'!$B$23*'Physical Condition Assessment'!E26*'PCA Cost Tables - READ ONLY'!P26*'Physical Condition Assessment'!R26*'Base Information Sheet'!$B$38*'Base Information Sheet'!$B$37</f>
        <v>0</v>
      </c>
      <c r="T26" s="786"/>
      <c r="U26" t="s">
        <v>103</v>
      </c>
      <c r="V26" s="502" t="s">
        <v>100</v>
      </c>
      <c r="AE26" s="475" t="s">
        <v>71</v>
      </c>
      <c r="AF26" s="475"/>
      <c r="AG26" s="475" t="s">
        <v>72</v>
      </c>
      <c r="AH26" s="476">
        <f>_xlfn.XLOOKUP($U26,'PCA Cost Tables - READ ONLY'!$E$10:$E$172,'PCA Cost Tables - READ ONLY'!$F$10:$F$172,"BLANK",0)</f>
        <v>4.25685</v>
      </c>
      <c r="AI26" s="476">
        <f>_xlfn.XLOOKUP($U26,'PCA Cost Tables - READ ONLY'!$E$10:$E$172,'PCA Cost Tables - READ ONLY'!$H$10:$H$172,"BLANK",0)</f>
        <v>8.801855999999999</v>
      </c>
      <c r="AJ26" s="476">
        <f>_xlfn.XLOOKUP($U26,'PCA Cost Tables - READ ONLY'!$E$10:$E$172,'PCA Cost Tables - READ ONLY'!$J$10:$J$172,"BLANK",0)</f>
        <v>27.662976000000004</v>
      </c>
      <c r="AK26" s="476">
        <f>_xlfn.XLOOKUP($U26,'PCA Cost Tables - READ ONLY'!$E$10:$E$172,'PCA Cost Tables - READ ONLY'!$L$10:$L$172,"BLANK",0)</f>
        <v>42.869754</v>
      </c>
      <c r="AL26" s="477" t="str">
        <f>IF($AE26="SF",IF($AF26="X",'Base Information Sheet'!$B$23*'Physical Condition Assessment'!$E26*'Physical Condition Assessment'!$AJ26,"-"))</f>
        <v>-</v>
      </c>
      <c r="AM26" s="477">
        <f>IF($AE26="SF",IF($AG26="X",'Base Information Sheet'!$B$23*'Physical Condition Assessment'!$E26*'Physical Condition Assessment'!$AK26,"-"))</f>
        <v>0</v>
      </c>
      <c r="AN26" s="477" t="b">
        <f>IF($AE26="Unit",IF($AF26="X",'Physical Condition Assessment'!$E26*'Physical Condition Assessment'!$AJ26,"-"))</f>
        <v>0</v>
      </c>
      <c r="AO26" s="477" t="b">
        <f>IF($AE26="Unit",IF($AG26="X",'Physical Condition Assessment'!$E26*'Physical Condition Assessment'!$AK26,"-"))</f>
        <v>0</v>
      </c>
      <c r="AP26" s="477">
        <f t="shared" si="0"/>
        <v>0</v>
      </c>
      <c r="AQ26" s="478" t="e">
        <f t="shared" si="1"/>
        <v>#DIV/0!</v>
      </c>
      <c r="AR26" s="734"/>
      <c r="AS26" s="734">
        <v>100</v>
      </c>
      <c r="AT26" s="737">
        <f ca="1">IF($AR26&gt;0,$C$5-$AR26,$C$5-'Base Information Sheet'!$B$15)</f>
        <v>2026</v>
      </c>
      <c r="AU26" s="737">
        <f>IF($AR26&gt;0,$AR26+$AS26,'Base Information Sheet'!$B$15+'Physical Condition Assessment'!$AS26)</f>
        <v>100</v>
      </c>
      <c r="AV26" s="738">
        <f ca="1">IF($N26="x",0,IF($AU26&lt;=$C$5,'Physical Condition Assessment'!$AP26,0))</f>
        <v>0</v>
      </c>
      <c r="AW26" s="738">
        <f ca="1">IF(AV26&gt;0,0,IF($N26="x",0,IF(($AU26-6)&lt;$C$5,'Physical Condition Assessment'!$AP26,0)))</f>
        <v>0</v>
      </c>
      <c r="AX26" s="738">
        <f ca="1">IF(SUM(AV26:AW26)&gt;0,0,IF($N26="x",0,IF(($AU26-11)&lt;$C$5,'Physical Condition Assessment'!$AP26,0)))</f>
        <v>0</v>
      </c>
      <c r="AY26" s="738">
        <f ca="1">IF(SUM(AV26:AX26)&gt;0,0,IF($N26="x",0,IF(($AU26-16)&lt;$C$5,'Physical Condition Assessment'!$AP26,0)))</f>
        <v>0</v>
      </c>
    </row>
    <row r="27" spans="1:52" ht="16" thickBot="1" x14ac:dyDescent="0.25">
      <c r="A27" s="755" t="s">
        <v>27</v>
      </c>
      <c r="B27" s="756" t="s">
        <v>96</v>
      </c>
      <c r="C27" s="502" t="s">
        <v>97</v>
      </c>
      <c r="D27" s="537" t="s">
        <v>104</v>
      </c>
      <c r="E27" s="728"/>
      <c r="F27" s="729"/>
      <c r="G27" s="537" t="s">
        <v>41</v>
      </c>
      <c r="H27" s="732"/>
      <c r="I27" s="537" t="s">
        <v>42</v>
      </c>
      <c r="J27" s="732"/>
      <c r="K27" s="537" t="s">
        <v>43</v>
      </c>
      <c r="L27" s="732"/>
      <c r="M27" s="537" t="s">
        <v>44</v>
      </c>
      <c r="N27" s="732"/>
      <c r="O27" s="537" t="s">
        <v>52</v>
      </c>
      <c r="P27" s="2"/>
      <c r="Q27" s="3" t="s">
        <v>52</v>
      </c>
      <c r="R27" s="783"/>
      <c r="S27" s="784">
        <f>'Base Information Sheet'!$B$23*'Physical Condition Assessment'!E27*'PCA Cost Tables - READ ONLY'!P27*'Physical Condition Assessment'!R27*'Base Information Sheet'!$B$38*'Base Information Sheet'!$B$37</f>
        <v>0</v>
      </c>
      <c r="T27" s="786"/>
      <c r="U27" t="s">
        <v>105</v>
      </c>
      <c r="V27" s="502" t="s">
        <v>100</v>
      </c>
      <c r="AE27" s="475" t="s">
        <v>71</v>
      </c>
      <c r="AF27" s="475"/>
      <c r="AG27" s="475" t="s">
        <v>72</v>
      </c>
      <c r="AH27" s="476">
        <f>_xlfn.XLOOKUP($U27,'PCA Cost Tables - READ ONLY'!$E$10:$E$172,'PCA Cost Tables - READ ONLY'!$F$10:$F$172,"BLANK",0)</f>
        <v>5.4876249999999995</v>
      </c>
      <c r="AI27" s="476">
        <f>_xlfn.XLOOKUP($U27,'PCA Cost Tables - READ ONLY'!$E$10:$E$172,'PCA Cost Tables - READ ONLY'!$H$10:$H$172,"BLANK",0)</f>
        <v>10.40325</v>
      </c>
      <c r="AJ27" s="476">
        <f>_xlfn.XLOOKUP($U27,'PCA Cost Tables - READ ONLY'!$E$10:$E$172,'PCA Cost Tables - READ ONLY'!$J$10:$J$172,"BLANK",0)</f>
        <v>33.068750000000001</v>
      </c>
      <c r="AK27" s="476">
        <f>_xlfn.XLOOKUP($U27,'PCA Cost Tables - READ ONLY'!$E$10:$E$172,'PCA Cost Tables - READ ONLY'!$L$10:$L$172,"BLANK",0)</f>
        <v>45.599125000000001</v>
      </c>
      <c r="AL27" s="477" t="str">
        <f>IF($AE27="SF",IF($AF27="X",'Base Information Sheet'!$B$23*'Physical Condition Assessment'!$E27*'Physical Condition Assessment'!$AJ27,"-"))</f>
        <v>-</v>
      </c>
      <c r="AM27" s="477">
        <f>IF($AE27="SF",IF($AG27="X",'Base Information Sheet'!$B$23*'Physical Condition Assessment'!$E27*'Physical Condition Assessment'!$AK27,"-"))</f>
        <v>0</v>
      </c>
      <c r="AN27" s="477" t="b">
        <f>IF($AE27="Unit",IF($AF27="X",'Physical Condition Assessment'!$E27*'Physical Condition Assessment'!$AJ27,"-"))</f>
        <v>0</v>
      </c>
      <c r="AO27" s="477" t="b">
        <f>IF($AE27="Unit",IF($AG27="X",'Physical Condition Assessment'!$E27*'Physical Condition Assessment'!$AK27,"-"))</f>
        <v>0</v>
      </c>
      <c r="AP27" s="477">
        <f t="shared" si="0"/>
        <v>0</v>
      </c>
      <c r="AQ27" s="478" t="e">
        <f t="shared" si="1"/>
        <v>#DIV/0!</v>
      </c>
      <c r="AR27" s="734"/>
      <c r="AS27" s="734">
        <v>100</v>
      </c>
      <c r="AT27" s="737">
        <f ca="1">IF($AR27&gt;0,$C$5-$AR27,$C$5-'Base Information Sheet'!$B$15)</f>
        <v>2026</v>
      </c>
      <c r="AU27" s="737">
        <f>IF($AR27&gt;0,$AR27+$AS27,'Base Information Sheet'!$B$15+'Physical Condition Assessment'!$AS27)</f>
        <v>100</v>
      </c>
      <c r="AV27" s="738">
        <f ca="1">IF($N27="x",0,IF($AU27&lt;=$C$5,'Physical Condition Assessment'!$AP27,0))</f>
        <v>0</v>
      </c>
      <c r="AW27" s="738">
        <f ca="1">IF(AV27&gt;0,0,IF($N27="x",0,IF(($AU27-6)&lt;$C$5,'Physical Condition Assessment'!$AP27,0)))</f>
        <v>0</v>
      </c>
      <c r="AX27" s="738">
        <f ca="1">IF(SUM(AV27:AW27)&gt;0,0,IF($N27="x",0,IF(($AU27-11)&lt;$C$5,'Physical Condition Assessment'!$AP27,0)))</f>
        <v>0</v>
      </c>
      <c r="AY27" s="738">
        <f ca="1">IF(SUM(AV27:AX27)&gt;0,0,IF($N27="x",0,IF(($AU27-16)&lt;$C$5,'Physical Condition Assessment'!$AP27,0)))</f>
        <v>0</v>
      </c>
    </row>
    <row r="28" spans="1:52" ht="16" thickBot="1" x14ac:dyDescent="0.25">
      <c r="A28" s="755" t="s">
        <v>27</v>
      </c>
      <c r="B28" s="756" t="s">
        <v>96</v>
      </c>
      <c r="C28" s="502" t="s">
        <v>97</v>
      </c>
      <c r="D28" s="537" t="s">
        <v>106</v>
      </c>
      <c r="E28" s="728"/>
      <c r="F28" s="729"/>
      <c r="G28" s="537" t="s">
        <v>41</v>
      </c>
      <c r="H28" s="732"/>
      <c r="I28" s="537" t="s">
        <v>42</v>
      </c>
      <c r="J28" s="732"/>
      <c r="K28" s="537" t="s">
        <v>43</v>
      </c>
      <c r="L28" s="732"/>
      <c r="M28" s="537" t="s">
        <v>44</v>
      </c>
      <c r="N28" s="732"/>
      <c r="O28" s="537" t="s">
        <v>52</v>
      </c>
      <c r="P28" s="2"/>
      <c r="Q28" s="3" t="s">
        <v>52</v>
      </c>
      <c r="R28" s="783"/>
      <c r="S28" s="784">
        <f>'Base Information Sheet'!$B$23*'Physical Condition Assessment'!E28*'PCA Cost Tables - READ ONLY'!P28*'Physical Condition Assessment'!R28*'Base Information Sheet'!$B$38*'Base Information Sheet'!$B$37</f>
        <v>0</v>
      </c>
      <c r="T28" s="786"/>
      <c r="U28" t="s">
        <v>107</v>
      </c>
      <c r="V28" s="502" t="s">
        <v>100</v>
      </c>
      <c r="AE28" s="475" t="s">
        <v>71</v>
      </c>
      <c r="AF28" s="475"/>
      <c r="AG28" s="475" t="s">
        <v>72</v>
      </c>
      <c r="AH28" s="476">
        <f>_xlfn.XLOOKUP($U28,'PCA Cost Tables - READ ONLY'!$E$10:$E$172,'PCA Cost Tables - READ ONLY'!$F$10:$F$172,"BLANK",0)</f>
        <v>6.3813749999999994</v>
      </c>
      <c r="AI28" s="476">
        <f>_xlfn.XLOOKUP($U28,'PCA Cost Tables - READ ONLY'!$E$10:$E$172,'PCA Cost Tables - READ ONLY'!$H$10:$H$172,"BLANK",0)</f>
        <v>12.19075</v>
      </c>
      <c r="AJ28" s="476">
        <f>_xlfn.XLOOKUP($U28,'PCA Cost Tables - READ ONLY'!$E$10:$E$172,'PCA Cost Tables - READ ONLY'!$J$10:$J$172,"BLANK",0)</f>
        <v>34.32</v>
      </c>
      <c r="AK28" s="476">
        <f>_xlfn.XLOOKUP($U28,'PCA Cost Tables - READ ONLY'!$E$10:$E$172,'PCA Cost Tables - READ ONLY'!$L$10:$L$172,"BLANK",0)</f>
        <v>54.536625000000001</v>
      </c>
      <c r="AL28" s="477" t="str">
        <f>IF($AE28="SF",IF($AF28="X",'Base Information Sheet'!$B$23*'Physical Condition Assessment'!$E28*'Physical Condition Assessment'!$AJ28,"-"))</f>
        <v>-</v>
      </c>
      <c r="AM28" s="477">
        <f>IF($AE28="SF",IF($AG28="X",'Base Information Sheet'!$B$23*'Physical Condition Assessment'!$E28*'Physical Condition Assessment'!$AK28,"-"))</f>
        <v>0</v>
      </c>
      <c r="AN28" s="477" t="b">
        <f>IF($AE28="Unit",IF($AF28="X",'Physical Condition Assessment'!$E28*'Physical Condition Assessment'!$AJ28,"-"))</f>
        <v>0</v>
      </c>
      <c r="AO28" s="477" t="b">
        <f>IF($AE28="Unit",IF($AG28="X",'Physical Condition Assessment'!$E28*'Physical Condition Assessment'!$AK28,"-"))</f>
        <v>0</v>
      </c>
      <c r="AP28" s="477">
        <f t="shared" si="0"/>
        <v>0</v>
      </c>
      <c r="AQ28" s="478" t="e">
        <f t="shared" si="1"/>
        <v>#DIV/0!</v>
      </c>
      <c r="AR28" s="734"/>
      <c r="AS28" s="734">
        <v>100</v>
      </c>
      <c r="AT28" s="737">
        <f ca="1">IF($AR28&gt;0,$C$5-$AR28,$C$5-'Base Information Sheet'!$B$15)</f>
        <v>2026</v>
      </c>
      <c r="AU28" s="737">
        <f>IF($AR28&gt;0,$AR28+$AS28,'Base Information Sheet'!$B$15+'Physical Condition Assessment'!$AS28)</f>
        <v>100</v>
      </c>
      <c r="AV28" s="738">
        <f ca="1">IF($N28="x",0,IF($AU28&lt;=$C$5,'Physical Condition Assessment'!$AP28,0))</f>
        <v>0</v>
      </c>
      <c r="AW28" s="738">
        <f ca="1">IF(AV28&gt;0,0,IF($N28="x",0,IF(($AU28-6)&lt;$C$5,'Physical Condition Assessment'!$AP28,0)))</f>
        <v>0</v>
      </c>
      <c r="AX28" s="738">
        <f ca="1">IF(SUM(AV28:AW28)&gt;0,0,IF($N28="x",0,IF(($AU28-11)&lt;$C$5,'Physical Condition Assessment'!$AP28,0)))</f>
        <v>0</v>
      </c>
      <c r="AY28" s="738">
        <f ca="1">IF(SUM(AV28:AX28)&gt;0,0,IF($N28="x",0,IF(($AU28-16)&lt;$C$5,'Physical Condition Assessment'!$AP28,0)))</f>
        <v>0</v>
      </c>
    </row>
    <row r="29" spans="1:52" ht="16" thickBot="1" x14ac:dyDescent="0.25">
      <c r="A29" s="755" t="s">
        <v>27</v>
      </c>
      <c r="B29" s="756" t="s">
        <v>96</v>
      </c>
      <c r="C29" s="502" t="s">
        <v>97</v>
      </c>
      <c r="D29" s="537" t="s">
        <v>108</v>
      </c>
      <c r="E29" s="728"/>
      <c r="F29" s="729"/>
      <c r="G29" s="537" t="s">
        <v>41</v>
      </c>
      <c r="H29" s="732"/>
      <c r="I29" s="537" t="s">
        <v>42</v>
      </c>
      <c r="J29" s="732"/>
      <c r="K29" s="537" t="s">
        <v>43</v>
      </c>
      <c r="L29" s="732"/>
      <c r="M29" s="537" t="s">
        <v>44</v>
      </c>
      <c r="N29" s="732"/>
      <c r="O29" s="537" t="s">
        <v>52</v>
      </c>
      <c r="P29" s="2"/>
      <c r="Q29" s="3" t="s">
        <v>52</v>
      </c>
      <c r="R29" s="783"/>
      <c r="S29" s="784">
        <f>'Base Information Sheet'!$B$23*'Physical Condition Assessment'!E29*'PCA Cost Tables - READ ONLY'!P29*'Physical Condition Assessment'!R29*'Base Information Sheet'!$B$38*'Base Information Sheet'!$B$37</f>
        <v>0</v>
      </c>
      <c r="T29" s="786"/>
      <c r="U29" t="s">
        <v>109</v>
      </c>
      <c r="V29" s="502" t="s">
        <v>100</v>
      </c>
      <c r="AE29" s="475" t="s">
        <v>71</v>
      </c>
      <c r="AF29" s="475"/>
      <c r="AG29" s="475" t="s">
        <v>72</v>
      </c>
      <c r="AH29" s="476">
        <f>_xlfn.XLOOKUP($U29,'PCA Cost Tables - READ ONLY'!$E$10:$E$172,'PCA Cost Tables - READ ONLY'!$F$10:$F$172,"BLANK",0)</f>
        <v>4.0210860000000004</v>
      </c>
      <c r="AI29" s="476">
        <f>_xlfn.XLOOKUP($U29,'PCA Cost Tables - READ ONLY'!$E$10:$E$172,'PCA Cost Tables - READ ONLY'!$H$10:$H$172,"BLANK",0)</f>
        <v>7.6230360000000008</v>
      </c>
      <c r="AJ29" s="476">
        <f>_xlfn.XLOOKUP($U29,'PCA Cost Tables - READ ONLY'!$E$10:$E$172,'PCA Cost Tables - READ ONLY'!$J$10:$J$172,"BLANK",0)</f>
        <v>26.196000000000002</v>
      </c>
      <c r="AK29" s="476">
        <f>_xlfn.XLOOKUP($U29,'PCA Cost Tables - READ ONLY'!$E$10:$E$172,'PCA Cost Tables - READ ONLY'!$L$10:$L$172,"BLANK",0)</f>
        <v>40.197762000000004</v>
      </c>
      <c r="AL29" s="477" t="str">
        <f>IF($AE29="SF",IF($AF29="X",'Base Information Sheet'!$B$23*'Physical Condition Assessment'!$E29*'Physical Condition Assessment'!$AJ29,"-"))</f>
        <v>-</v>
      </c>
      <c r="AM29" s="477">
        <f>IF($AE29="SF",IF($AG29="X",'Base Information Sheet'!$B$23*'Physical Condition Assessment'!$E29*'Physical Condition Assessment'!$AK29,"-"))</f>
        <v>0</v>
      </c>
      <c r="AN29" s="477" t="b">
        <f>IF($AE29="Unit",IF($AF29="X",'Physical Condition Assessment'!$E29*'Physical Condition Assessment'!$AJ29,"-"))</f>
        <v>0</v>
      </c>
      <c r="AO29" s="477" t="b">
        <f>IF($AE29="Unit",IF($AG29="X",'Physical Condition Assessment'!$E29*'Physical Condition Assessment'!$AK29,"-"))</f>
        <v>0</v>
      </c>
      <c r="AP29" s="477">
        <f t="shared" si="0"/>
        <v>0</v>
      </c>
      <c r="AQ29" s="478" t="e">
        <f t="shared" si="1"/>
        <v>#DIV/0!</v>
      </c>
      <c r="AR29" s="734"/>
      <c r="AS29" s="734">
        <v>100</v>
      </c>
      <c r="AT29" s="737">
        <f ca="1">IF($AR29&gt;0,$C$5-$AR29,$C$5-'Base Information Sheet'!$B$15)</f>
        <v>2026</v>
      </c>
      <c r="AU29" s="737">
        <f>IF($AR29&gt;0,$AR29+$AS29,'Base Information Sheet'!$B$15+'Physical Condition Assessment'!$AS29)</f>
        <v>100</v>
      </c>
      <c r="AV29" s="738">
        <f ca="1">IF($N29="x",0,IF($AU29&lt;=$C$5,'Physical Condition Assessment'!$AP29,0))</f>
        <v>0</v>
      </c>
      <c r="AW29" s="738">
        <f ca="1">IF(AV29&gt;0,0,IF($N29="x",0,IF(($AU29-6)&lt;$C$5,'Physical Condition Assessment'!$AP29,0)))</f>
        <v>0</v>
      </c>
      <c r="AX29" s="738">
        <f ca="1">IF(SUM(AV29:AW29)&gt;0,0,IF($N29="x",0,IF(($AU29-11)&lt;$C$5,'Physical Condition Assessment'!$AP29,0)))</f>
        <v>0</v>
      </c>
      <c r="AY29" s="738">
        <f ca="1">IF(SUM(AV29:AX29)&gt;0,0,IF($N29="x",0,IF(($AU29-16)&lt;$C$5,'Physical Condition Assessment'!$AP29,0)))</f>
        <v>0</v>
      </c>
    </row>
    <row r="30" spans="1:52" ht="16" thickBot="1" x14ac:dyDescent="0.25">
      <c r="A30" s="755" t="s">
        <v>27</v>
      </c>
      <c r="B30" s="756" t="s">
        <v>96</v>
      </c>
      <c r="C30" s="502" t="s">
        <v>97</v>
      </c>
      <c r="D30" s="537" t="s">
        <v>110</v>
      </c>
      <c r="E30" s="728"/>
      <c r="F30" s="729"/>
      <c r="G30" s="537" t="s">
        <v>41</v>
      </c>
      <c r="H30" s="732"/>
      <c r="I30" s="537" t="s">
        <v>42</v>
      </c>
      <c r="J30" s="732"/>
      <c r="K30" s="537" t="s">
        <v>43</v>
      </c>
      <c r="L30" s="732"/>
      <c r="M30" s="537" t="s">
        <v>44</v>
      </c>
      <c r="N30" s="732"/>
      <c r="O30" s="537" t="s">
        <v>52</v>
      </c>
      <c r="P30" s="2"/>
      <c r="Q30" s="3" t="s">
        <v>52</v>
      </c>
      <c r="R30" s="783"/>
      <c r="S30" s="784">
        <f>'Base Information Sheet'!$B$23*'Physical Condition Assessment'!E30*'PCA Cost Tables - READ ONLY'!P30*'Physical Condition Assessment'!R30*'Base Information Sheet'!$B$38*'Base Information Sheet'!$B$37</f>
        <v>0</v>
      </c>
      <c r="T30" s="786"/>
      <c r="U30" t="s">
        <v>111</v>
      </c>
      <c r="V30" s="502" t="s">
        <v>100</v>
      </c>
      <c r="W30" s="846" t="s">
        <v>2030</v>
      </c>
      <c r="X30" s="847"/>
      <c r="Y30" s="848"/>
      <c r="AE30" s="475" t="s">
        <v>71</v>
      </c>
      <c r="AF30" s="475"/>
      <c r="AG30" s="475" t="s">
        <v>72</v>
      </c>
      <c r="AH30" s="476">
        <f>_xlfn.XLOOKUP($U30,'PCA Cost Tables - READ ONLY'!$E$10:$E$172,'PCA Cost Tables - READ ONLY'!$F$10:$F$172,"BLANK",0)</f>
        <v>3.2221080000000004</v>
      </c>
      <c r="AI30" s="476">
        <f>_xlfn.XLOOKUP($U30,'PCA Cost Tables - READ ONLY'!$E$10:$E$172,'PCA Cost Tables - READ ONLY'!$H$10:$H$172,"BLANK",0)</f>
        <v>5.8679040000000011</v>
      </c>
      <c r="AJ30" s="476">
        <f>_xlfn.XLOOKUP($U30,'PCA Cost Tables - READ ONLY'!$E$10:$E$172,'PCA Cost Tables - READ ONLY'!$J$10:$J$172,"BLANK",0)</f>
        <v>32.0901</v>
      </c>
      <c r="AK30" s="476">
        <f>_xlfn.XLOOKUP($U30,'PCA Cost Tables - READ ONLY'!$E$10:$E$172,'PCA Cost Tables - READ ONLY'!$L$10:$L$172,"BLANK",0)</f>
        <v>50.571378000000003</v>
      </c>
      <c r="AL30" s="477" t="str">
        <f>IF($AE30="SF",IF($AF30="X",'Base Information Sheet'!$B$23*'Physical Condition Assessment'!$E30*'Physical Condition Assessment'!$AJ30,"-"))</f>
        <v>-</v>
      </c>
      <c r="AM30" s="477">
        <f>IF($AE30="SF",IF($AG30="X",'Base Information Sheet'!$B$23*'Physical Condition Assessment'!$E30*'Physical Condition Assessment'!$AK30,"-"))</f>
        <v>0</v>
      </c>
      <c r="AN30" s="477" t="b">
        <f>IF($AE30="Unit",IF($AF30="X",'Physical Condition Assessment'!$E30*'Physical Condition Assessment'!$AJ30,"-"))</f>
        <v>0</v>
      </c>
      <c r="AO30" s="477" t="b">
        <f>IF($AE30="Unit",IF($AG30="X",'Physical Condition Assessment'!$E30*'Physical Condition Assessment'!$AK30,"-"))</f>
        <v>0</v>
      </c>
      <c r="AP30" s="477">
        <f t="shared" si="0"/>
        <v>0</v>
      </c>
      <c r="AQ30" s="478" t="e">
        <f t="shared" si="1"/>
        <v>#DIV/0!</v>
      </c>
      <c r="AR30" s="734"/>
      <c r="AS30" s="734">
        <v>100</v>
      </c>
      <c r="AT30" s="737">
        <f ca="1">IF($AR30&gt;0,$C$5-$AR30,$C$5-'Base Information Sheet'!$B$15)</f>
        <v>2026</v>
      </c>
      <c r="AU30" s="737">
        <f>IF($AR30&gt;0,$AR30+$AS30,'Base Information Sheet'!$B$15+'Physical Condition Assessment'!$AS30)</f>
        <v>100</v>
      </c>
      <c r="AV30" s="738">
        <f ca="1">IF($N30="x",0,IF($AU30&lt;=$C$5,'Physical Condition Assessment'!$AP30,0))</f>
        <v>0</v>
      </c>
      <c r="AW30" s="738">
        <f ca="1">IF(AV30&gt;0,0,IF($N30="x",0,IF(($AU30-6)&lt;$C$5,'Physical Condition Assessment'!$AP30,0)))</f>
        <v>0</v>
      </c>
      <c r="AX30" s="738">
        <f ca="1">IF(SUM(AV30:AW30)&gt;0,0,IF($N30="x",0,IF(($AU30-11)&lt;$C$5,'Physical Condition Assessment'!$AP30,0)))</f>
        <v>0</v>
      </c>
      <c r="AY30" s="738">
        <f ca="1">IF(SUM(AV30:AX30)&gt;0,0,IF($N30="x",0,IF(($AU30-16)&lt;$C$5,'Physical Condition Assessment'!$AP30,0)))</f>
        <v>0</v>
      </c>
    </row>
    <row r="31" spans="1:52" ht="16" thickBot="1" x14ac:dyDescent="0.25">
      <c r="A31" s="755" t="s">
        <v>27</v>
      </c>
      <c r="B31" s="756" t="s">
        <v>96</v>
      </c>
      <c r="C31" s="502" t="s">
        <v>112</v>
      </c>
      <c r="D31" s="537" t="s">
        <v>83</v>
      </c>
      <c r="E31" s="730"/>
      <c r="F31" s="729"/>
      <c r="G31" s="537" t="s">
        <v>41</v>
      </c>
      <c r="H31" s="732"/>
      <c r="I31" s="537" t="s">
        <v>42</v>
      </c>
      <c r="J31" s="732"/>
      <c r="K31" s="537" t="s">
        <v>43</v>
      </c>
      <c r="L31" s="732"/>
      <c r="M31" s="537" t="s">
        <v>44</v>
      </c>
      <c r="N31" s="732"/>
      <c r="O31" s="537" t="s">
        <v>52</v>
      </c>
      <c r="P31" s="2"/>
      <c r="Q31" s="3" t="s">
        <v>52</v>
      </c>
      <c r="R31" s="783"/>
      <c r="S31" s="784">
        <f>'Physical Condition Assessment'!E31*'PCA Cost Tables - READ ONLY'!P31*'Physical Condition Assessment'!R31*'Base Information Sheet'!$B$38*'Base Information Sheet'!$B$37</f>
        <v>0</v>
      </c>
      <c r="T31" s="786"/>
      <c r="U31" t="s">
        <v>113</v>
      </c>
      <c r="V31" s="502" t="s">
        <v>114</v>
      </c>
      <c r="W31" s="849" t="s">
        <v>115</v>
      </c>
      <c r="X31" s="850"/>
      <c r="Y31" s="626" t="s">
        <v>116</v>
      </c>
      <c r="AE31" s="475" t="s">
        <v>51</v>
      </c>
      <c r="AF31" s="475"/>
      <c r="AG31" s="475" t="s">
        <v>72</v>
      </c>
      <c r="AH31" s="476">
        <f>_xlfn.XLOOKUP($U31,'PCA Cost Tables - READ ONLY'!$E$10:$E$172,'PCA Cost Tables - READ ONLY'!$F$10:$F$172,"BLANK",0)</f>
        <v>89.375</v>
      </c>
      <c r="AI31" s="476">
        <f>_xlfn.XLOOKUP($U31,'PCA Cost Tables - READ ONLY'!$E$10:$E$172,'PCA Cost Tables - READ ONLY'!$H$10:$H$172,"BLANK",0)</f>
        <v>357.5</v>
      </c>
      <c r="AJ31" s="476">
        <f>_xlfn.XLOOKUP($U31,'PCA Cost Tables - READ ONLY'!$E$10:$E$172,'PCA Cost Tables - READ ONLY'!$J$10:$J$172,"BLANK",0)</f>
        <v>893.75</v>
      </c>
      <c r="AK31" s="476">
        <f>_xlfn.XLOOKUP($U31,'PCA Cost Tables - READ ONLY'!$E$10:$E$172,'PCA Cost Tables - READ ONLY'!$L$10:$L$172,"BLANK",0)</f>
        <v>1787.5</v>
      </c>
      <c r="AL31" s="477" t="b">
        <f>IF($AE31="SF",IF($AF31="X",'Base Information Sheet'!$B$23*'Physical Condition Assessment'!$E31*'Physical Condition Assessment'!$AJ31,"-"))</f>
        <v>0</v>
      </c>
      <c r="AM31" s="477" t="b">
        <f>IF($AE31="SF",IF($AG31="X",'Base Information Sheet'!$B$23*'Physical Condition Assessment'!$E31*'Physical Condition Assessment'!$AK31,"-"))</f>
        <v>0</v>
      </c>
      <c r="AN31" s="477" t="str">
        <f>IF($AE31="Unit",IF($AF31="X",'Physical Condition Assessment'!$E31*'Physical Condition Assessment'!$AJ31,"-"))</f>
        <v>-</v>
      </c>
      <c r="AO31" s="477">
        <f>IF($AE31="Unit",IF($AG31="X",'Physical Condition Assessment'!$E31*'Physical Condition Assessment'!$AK31,"-"))</f>
        <v>0</v>
      </c>
      <c r="AP31" s="477">
        <f t="shared" si="0"/>
        <v>0</v>
      </c>
      <c r="AQ31" s="478" t="e">
        <f t="shared" si="1"/>
        <v>#DIV/0!</v>
      </c>
      <c r="AR31" s="734"/>
      <c r="AS31" s="734">
        <v>30</v>
      </c>
      <c r="AT31" s="737">
        <f ca="1">IF($AR31&gt;0,$C$5-$AR31,$C$5-'Base Information Sheet'!$B$15)</f>
        <v>2026</v>
      </c>
      <c r="AU31" s="737">
        <f>IF($AR31&gt;0,$AR31+$AS31,'Base Information Sheet'!$B$15+'Physical Condition Assessment'!$AS31)</f>
        <v>30</v>
      </c>
      <c r="AV31" s="738">
        <f ca="1">IF($N31="x",0,IF($AU31&lt;=$C$5,'Physical Condition Assessment'!$AP31,0))</f>
        <v>0</v>
      </c>
      <c r="AW31" s="738">
        <f ca="1">IF(AV31&gt;0,0,IF($N31="x",0,IF(($AU31-6)&lt;$C$5,'Physical Condition Assessment'!$AP31,0)))</f>
        <v>0</v>
      </c>
      <c r="AX31" s="738">
        <f ca="1">IF(SUM(AV31:AW31)&gt;0,0,IF($N31="x",0,IF(($AU31-11)&lt;$C$5,'Physical Condition Assessment'!$AP31,0)))</f>
        <v>0</v>
      </c>
      <c r="AY31" s="738">
        <f ca="1">IF(SUM(AV31:AX31)&gt;0,0,IF($N31="x",0,IF(($AU31-16)&lt;$C$5,'Physical Condition Assessment'!$AP31,0)))</f>
        <v>0</v>
      </c>
    </row>
    <row r="32" spans="1:52" ht="16" thickBot="1" x14ac:dyDescent="0.25">
      <c r="A32" s="755" t="s">
        <v>27</v>
      </c>
      <c r="B32" s="756" t="s">
        <v>96</v>
      </c>
      <c r="C32" s="502" t="s">
        <v>112</v>
      </c>
      <c r="D32" s="537" t="s">
        <v>117</v>
      </c>
      <c r="E32" s="731"/>
      <c r="F32" s="729"/>
      <c r="G32" s="537" t="s">
        <v>41</v>
      </c>
      <c r="H32" s="732"/>
      <c r="I32" s="537" t="s">
        <v>42</v>
      </c>
      <c r="J32" s="732"/>
      <c r="K32" s="537" t="s">
        <v>43</v>
      </c>
      <c r="L32" s="732"/>
      <c r="M32" s="537" t="s">
        <v>44</v>
      </c>
      <c r="N32" s="732"/>
      <c r="O32" s="537" t="s">
        <v>52</v>
      </c>
      <c r="P32" s="2"/>
      <c r="Q32" s="3" t="s">
        <v>52</v>
      </c>
      <c r="R32" s="783"/>
      <c r="S32" s="784">
        <f>'Physical Condition Assessment'!E32*'PCA Cost Tables - READ ONLY'!P32*'Physical Condition Assessment'!R32*'Base Information Sheet'!$B$38*'Base Information Sheet'!$B$37</f>
        <v>0</v>
      </c>
      <c r="T32" s="786"/>
      <c r="U32" t="s">
        <v>118</v>
      </c>
      <c r="V32" s="502" t="s">
        <v>114</v>
      </c>
      <c r="W32" s="849"/>
      <c r="X32" s="850"/>
      <c r="Y32" s="627">
        <f>W32/20</f>
        <v>0</v>
      </c>
      <c r="AE32" s="475" t="s">
        <v>51</v>
      </c>
      <c r="AF32" s="475"/>
      <c r="AG32" s="475" t="s">
        <v>72</v>
      </c>
      <c r="AH32" s="476">
        <f>_xlfn.XLOOKUP($U32,'PCA Cost Tables - READ ONLY'!$E$10:$E$172,'PCA Cost Tables - READ ONLY'!$F$10:$F$172,"BLANK",0)</f>
        <v>31.5</v>
      </c>
      <c r="AI32" s="476">
        <f>_xlfn.XLOOKUP($U32,'PCA Cost Tables - READ ONLY'!$E$10:$E$172,'PCA Cost Tables - READ ONLY'!$H$10:$H$172,"BLANK",0)</f>
        <v>126</v>
      </c>
      <c r="AJ32" s="476">
        <f>_xlfn.XLOOKUP($U32,'PCA Cost Tables - READ ONLY'!$E$10:$E$172,'PCA Cost Tables - READ ONLY'!$J$10:$J$172,"BLANK",0)</f>
        <v>1102.5</v>
      </c>
      <c r="AK32" s="476">
        <f>_xlfn.XLOOKUP($U32,'PCA Cost Tables - READ ONLY'!$E$10:$E$172,'PCA Cost Tables - READ ONLY'!$L$10:$L$172,"BLANK",0)</f>
        <v>2205</v>
      </c>
      <c r="AL32" s="477" t="b">
        <f>IF($AE32="SF",IF($AF32="X",'Base Information Sheet'!$B$23*'Physical Condition Assessment'!$E32*'Physical Condition Assessment'!$AJ32,"-"))</f>
        <v>0</v>
      </c>
      <c r="AM32" s="477" t="b">
        <f>IF($AE32="SF",IF($AG32="X",'Base Information Sheet'!$B$23*'Physical Condition Assessment'!$E32*'Physical Condition Assessment'!$AK32,"-"))</f>
        <v>0</v>
      </c>
      <c r="AN32" s="477" t="str">
        <f>IF($AE32="Unit",IF($AF32="X",'Physical Condition Assessment'!$E32*'Physical Condition Assessment'!$AJ32,"-"))</f>
        <v>-</v>
      </c>
      <c r="AO32" s="477">
        <f>IF($AE32="Unit",IF($AG32="X",'Physical Condition Assessment'!$E32*'Physical Condition Assessment'!$AK32,"-"))</f>
        <v>0</v>
      </c>
      <c r="AP32" s="477">
        <f t="shared" si="0"/>
        <v>0</v>
      </c>
      <c r="AQ32" s="478" t="e">
        <f t="shared" si="1"/>
        <v>#DIV/0!</v>
      </c>
      <c r="AR32" s="734"/>
      <c r="AS32" s="734">
        <v>30</v>
      </c>
      <c r="AT32" s="737">
        <f ca="1">IF($AR32&gt;0,$C$5-$AR32,$C$5-'Base Information Sheet'!$B$15)</f>
        <v>2026</v>
      </c>
      <c r="AU32" s="737">
        <f>IF($AR32&gt;0,$AR32+$AS32,'Base Information Sheet'!$B$15+'Physical Condition Assessment'!$AS32)</f>
        <v>30</v>
      </c>
      <c r="AV32" s="738">
        <f ca="1">IF($N32="x",0,IF($AU32&lt;=$C$5,'Physical Condition Assessment'!$AP32,0))</f>
        <v>0</v>
      </c>
      <c r="AW32" s="738">
        <f ca="1">IF(AV32&gt;0,0,IF($N32="x",0,IF(($AU32-6)&lt;$C$5,'Physical Condition Assessment'!$AP32,0)))</f>
        <v>0</v>
      </c>
      <c r="AX32" s="738">
        <f ca="1">IF(SUM(AV32:AW32)&gt;0,0,IF($N32="x",0,IF(($AU32-11)&lt;$C$5,'Physical Condition Assessment'!$AP32,0)))</f>
        <v>0</v>
      </c>
      <c r="AY32" s="738">
        <f ca="1">IF(SUM(AV32:AX32)&gt;0,0,IF($N32="x",0,IF(($AU32-16)&lt;$C$5,'Physical Condition Assessment'!$AP32,0)))</f>
        <v>0</v>
      </c>
    </row>
    <row r="33" spans="1:51" ht="16" thickBot="1" x14ac:dyDescent="0.25">
      <c r="A33" s="755" t="s">
        <v>27</v>
      </c>
      <c r="B33" s="756" t="s">
        <v>96</v>
      </c>
      <c r="C33" s="502" t="s">
        <v>112</v>
      </c>
      <c r="D33" s="537" t="s">
        <v>119</v>
      </c>
      <c r="E33" s="730"/>
      <c r="F33" s="729"/>
      <c r="G33" s="537" t="s">
        <v>41</v>
      </c>
      <c r="H33" s="732"/>
      <c r="I33" s="537" t="s">
        <v>42</v>
      </c>
      <c r="J33" s="732"/>
      <c r="K33" s="537" t="s">
        <v>43</v>
      </c>
      <c r="L33" s="732"/>
      <c r="M33" s="537" t="s">
        <v>44</v>
      </c>
      <c r="N33" s="732"/>
      <c r="O33" s="537" t="s">
        <v>52</v>
      </c>
      <c r="P33" s="2"/>
      <c r="Q33" s="3" t="s">
        <v>52</v>
      </c>
      <c r="R33" s="783"/>
      <c r="S33" s="784">
        <f>'Physical Condition Assessment'!E33*'PCA Cost Tables - READ ONLY'!P33*'Physical Condition Assessment'!R33*'Base Information Sheet'!$B$38*'Base Information Sheet'!$B$37</f>
        <v>0</v>
      </c>
      <c r="T33" s="786"/>
      <c r="U33" t="s">
        <v>120</v>
      </c>
      <c r="V33" s="502" t="s">
        <v>114</v>
      </c>
      <c r="AE33" s="475" t="s">
        <v>51</v>
      </c>
      <c r="AF33" s="475"/>
      <c r="AG33" s="475" t="s">
        <v>72</v>
      </c>
      <c r="AH33" s="476">
        <f>_xlfn.XLOOKUP($U33,'PCA Cost Tables - READ ONLY'!$E$10:$E$172,'PCA Cost Tables - READ ONLY'!$F$10:$F$172,"BLANK",0)</f>
        <v>119.07000000000001</v>
      </c>
      <c r="AI33" s="476">
        <f>_xlfn.XLOOKUP($U33,'PCA Cost Tables - READ ONLY'!$E$10:$E$172,'PCA Cost Tables - READ ONLY'!$H$10:$H$172,"BLANK",0)</f>
        <v>476.28000000000003</v>
      </c>
      <c r="AJ33" s="476">
        <f>_xlfn.XLOOKUP($U33,'PCA Cost Tables - READ ONLY'!$E$10:$E$172,'PCA Cost Tables - READ ONLY'!$J$10:$J$172,"BLANK",0)</f>
        <v>1587.6</v>
      </c>
      <c r="AK33" s="476">
        <f>_xlfn.XLOOKUP($U33,'PCA Cost Tables - READ ONLY'!$E$10:$E$172,'PCA Cost Tables - READ ONLY'!$L$10:$L$172,"BLANK",0)</f>
        <v>3175.2</v>
      </c>
      <c r="AL33" s="477" t="b">
        <f>IF($AE33="SF",IF($AF33="X",'Base Information Sheet'!$B$23*'Physical Condition Assessment'!$E33*'Physical Condition Assessment'!$AJ33,"-"))</f>
        <v>0</v>
      </c>
      <c r="AM33" s="477" t="b">
        <f>IF($AE33="SF",IF($AG33="X",'Base Information Sheet'!$B$23*'Physical Condition Assessment'!$E33*'Physical Condition Assessment'!$AK33,"-"))</f>
        <v>0</v>
      </c>
      <c r="AN33" s="477" t="str">
        <f>IF($AE33="Unit",IF($AF33="X",'Physical Condition Assessment'!$E33*'Physical Condition Assessment'!$AJ33,"-"))</f>
        <v>-</v>
      </c>
      <c r="AO33" s="477">
        <f>IF($AE33="Unit",IF($AG33="X",'Physical Condition Assessment'!$E33*'Physical Condition Assessment'!$AK33,"-"))</f>
        <v>0</v>
      </c>
      <c r="AP33" s="477">
        <f t="shared" si="0"/>
        <v>0</v>
      </c>
      <c r="AQ33" s="478" t="e">
        <f t="shared" si="1"/>
        <v>#DIV/0!</v>
      </c>
      <c r="AR33" s="734"/>
      <c r="AS33" s="734">
        <v>30</v>
      </c>
      <c r="AT33" s="737">
        <f ca="1">IF($AR33&gt;0,$C$5-$AR33,$C$5-'Base Information Sheet'!$B$15)</f>
        <v>2026</v>
      </c>
      <c r="AU33" s="737">
        <f>IF($AR33&gt;0,$AR33+$AS33,'Base Information Sheet'!$B$15+'Physical Condition Assessment'!$AS33)</f>
        <v>30</v>
      </c>
      <c r="AV33" s="738">
        <f ca="1">IF($N33="x",0,IF($AU33&lt;=$C$5,'Physical Condition Assessment'!$AP33,0))</f>
        <v>0</v>
      </c>
      <c r="AW33" s="738">
        <f ca="1">IF(AV33&gt;0,0,IF($N33="x",0,IF(($AU33-6)&lt;$C$5,'Physical Condition Assessment'!$AP33,0)))</f>
        <v>0</v>
      </c>
      <c r="AX33" s="738">
        <f ca="1">IF(SUM(AV33:AW33)&gt;0,0,IF($N33="x",0,IF(($AU33-11)&lt;$C$5,'Physical Condition Assessment'!$AP33,0)))</f>
        <v>0</v>
      </c>
      <c r="AY33" s="738">
        <f ca="1">IF(SUM(AV33:AX33)&gt;0,0,IF($N33="x",0,IF(($AU33-16)&lt;$C$5,'Physical Condition Assessment'!$AP33,0)))</f>
        <v>0</v>
      </c>
    </row>
    <row r="34" spans="1:51" ht="16" thickBot="1" x14ac:dyDescent="0.25">
      <c r="A34" s="755" t="s">
        <v>27</v>
      </c>
      <c r="B34" s="756" t="s">
        <v>96</v>
      </c>
      <c r="C34" s="502" t="s">
        <v>112</v>
      </c>
      <c r="D34" s="537" t="s">
        <v>121</v>
      </c>
      <c r="E34" s="730"/>
      <c r="F34" s="729"/>
      <c r="G34" s="537" t="s">
        <v>41</v>
      </c>
      <c r="H34" s="732"/>
      <c r="I34" s="537" t="s">
        <v>42</v>
      </c>
      <c r="J34" s="732"/>
      <c r="K34" s="537" t="s">
        <v>43</v>
      </c>
      <c r="L34" s="732"/>
      <c r="M34" s="537" t="s">
        <v>44</v>
      </c>
      <c r="N34" s="732"/>
      <c r="O34" s="537" t="s">
        <v>52</v>
      </c>
      <c r="P34" s="2"/>
      <c r="Q34" s="3" t="s">
        <v>52</v>
      </c>
      <c r="R34" s="783"/>
      <c r="S34" s="784">
        <f>'Physical Condition Assessment'!E34*'PCA Cost Tables - READ ONLY'!P34*'Physical Condition Assessment'!R34*'Base Information Sheet'!$B$38*'Base Information Sheet'!$B$37</f>
        <v>0</v>
      </c>
      <c r="T34" s="786"/>
      <c r="U34" t="s">
        <v>122</v>
      </c>
      <c r="V34" s="502" t="s">
        <v>114</v>
      </c>
      <c r="W34" s="846" t="s">
        <v>2031</v>
      </c>
      <c r="X34" s="847"/>
      <c r="Y34" s="848"/>
      <c r="AE34" s="475" t="s">
        <v>51</v>
      </c>
      <c r="AF34" s="475"/>
      <c r="AG34" s="475" t="s">
        <v>72</v>
      </c>
      <c r="AH34" s="476">
        <f>_xlfn.XLOOKUP($U34,'PCA Cost Tables - READ ONLY'!$E$10:$E$172,'PCA Cost Tables - READ ONLY'!$F$10:$F$172,"BLANK",0)</f>
        <v>39.69</v>
      </c>
      <c r="AI34" s="476">
        <f>_xlfn.XLOOKUP($U34,'PCA Cost Tables - READ ONLY'!$E$10:$E$172,'PCA Cost Tables - READ ONLY'!$H$10:$H$172,"BLANK",0)</f>
        <v>158.76</v>
      </c>
      <c r="AJ34" s="476">
        <f>_xlfn.XLOOKUP($U34,'PCA Cost Tables - READ ONLY'!$E$10:$E$172,'PCA Cost Tables - READ ONLY'!$J$10:$J$172,"BLANK",0)</f>
        <v>1190.7</v>
      </c>
      <c r="AK34" s="476">
        <f>_xlfn.XLOOKUP($U34,'PCA Cost Tables - READ ONLY'!$E$10:$E$172,'PCA Cost Tables - READ ONLY'!$L$10:$L$172,"BLANK",0)</f>
        <v>2381.4</v>
      </c>
      <c r="AL34" s="477" t="b">
        <f>IF($AE34="SF",IF($AF34="X",'Base Information Sheet'!$B$23*'Physical Condition Assessment'!$E34*'Physical Condition Assessment'!$AJ34,"-"))</f>
        <v>0</v>
      </c>
      <c r="AM34" s="477" t="b">
        <f>IF($AE34="SF",IF($AG34="X",'Base Information Sheet'!$B$23*'Physical Condition Assessment'!$E34*'Physical Condition Assessment'!$AK34,"-"))</f>
        <v>0</v>
      </c>
      <c r="AN34" s="477" t="str">
        <f>IF($AE34="Unit",IF($AF34="X",'Physical Condition Assessment'!$E34*'Physical Condition Assessment'!$AJ34,"-"))</f>
        <v>-</v>
      </c>
      <c r="AO34" s="477">
        <f>IF($AE34="Unit",IF($AG34="X",'Physical Condition Assessment'!$E34*'Physical Condition Assessment'!$AK34,"-"))</f>
        <v>0</v>
      </c>
      <c r="AP34" s="477">
        <f t="shared" si="0"/>
        <v>0</v>
      </c>
      <c r="AQ34" s="478" t="e">
        <f t="shared" si="1"/>
        <v>#DIV/0!</v>
      </c>
      <c r="AR34" s="734"/>
      <c r="AS34" s="734">
        <v>30</v>
      </c>
      <c r="AT34" s="737">
        <f ca="1">IF($AR34&gt;0,$C$5-$AR34,$C$5-'Base Information Sheet'!$B$15)</f>
        <v>2026</v>
      </c>
      <c r="AU34" s="737">
        <f>IF($AR34&gt;0,$AR34+$AS34,'Base Information Sheet'!$B$15+'Physical Condition Assessment'!$AS34)</f>
        <v>30</v>
      </c>
      <c r="AV34" s="738">
        <f ca="1">IF($N34="x",0,IF($AU34&lt;=$C$5,'Physical Condition Assessment'!$AP34,0))</f>
        <v>0</v>
      </c>
      <c r="AW34" s="738">
        <f ca="1">IF(AV34&gt;0,0,IF($N34="x",0,IF(($AU34-6)&lt;$C$5,'Physical Condition Assessment'!$AP34,0)))</f>
        <v>0</v>
      </c>
      <c r="AX34" s="738">
        <f ca="1">IF(SUM(AV34:AW34)&gt;0,0,IF($N34="x",0,IF(($AU34-11)&lt;$C$5,'Physical Condition Assessment'!$AP34,0)))</f>
        <v>0</v>
      </c>
      <c r="AY34" s="738">
        <f ca="1">IF(SUM(AV34:AX34)&gt;0,0,IF($N34="x",0,IF(($AU34-16)&lt;$C$5,'Physical Condition Assessment'!$AP34,0)))</f>
        <v>0</v>
      </c>
    </row>
    <row r="35" spans="1:51" ht="16" thickBot="1" x14ac:dyDescent="0.25">
      <c r="A35" s="755" t="s">
        <v>27</v>
      </c>
      <c r="B35" s="756" t="s">
        <v>96</v>
      </c>
      <c r="C35" s="502" t="s">
        <v>123</v>
      </c>
      <c r="D35" s="537" t="s">
        <v>83</v>
      </c>
      <c r="E35" s="731"/>
      <c r="F35" s="729"/>
      <c r="G35" s="537" t="s">
        <v>41</v>
      </c>
      <c r="H35" s="732"/>
      <c r="I35" s="537" t="s">
        <v>42</v>
      </c>
      <c r="J35" s="732"/>
      <c r="K35" s="537" t="s">
        <v>43</v>
      </c>
      <c r="L35" s="732"/>
      <c r="M35" s="537" t="s">
        <v>44</v>
      </c>
      <c r="N35" s="732"/>
      <c r="O35" s="537" t="s">
        <v>52</v>
      </c>
      <c r="P35" s="2"/>
      <c r="Q35" s="3" t="s">
        <v>52</v>
      </c>
      <c r="R35" s="783"/>
      <c r="S35" s="784">
        <f>'Physical Condition Assessment'!E35*'PCA Cost Tables - READ ONLY'!P35*'Physical Condition Assessment'!R35*'Base Information Sheet'!$B$38*'Base Information Sheet'!$B$37</f>
        <v>0</v>
      </c>
      <c r="T35" s="786"/>
      <c r="U35" t="s">
        <v>124</v>
      </c>
      <c r="V35" s="502" t="s">
        <v>125</v>
      </c>
      <c r="W35" s="849" t="s">
        <v>126</v>
      </c>
      <c r="X35" s="850"/>
      <c r="Y35" s="626" t="s">
        <v>116</v>
      </c>
      <c r="AE35" s="475" t="s">
        <v>51</v>
      </c>
      <c r="AF35" s="475"/>
      <c r="AG35" s="475" t="s">
        <v>72</v>
      </c>
      <c r="AH35" s="476">
        <f>_xlfn.XLOOKUP($U35,'PCA Cost Tables - READ ONLY'!$E$10:$E$172,'PCA Cost Tables - READ ONLY'!$F$10:$F$172,"BLANK",0)</f>
        <v>446.875</v>
      </c>
      <c r="AI35" s="476">
        <f>_xlfn.XLOOKUP($U35,'PCA Cost Tables - READ ONLY'!$E$10:$E$172,'PCA Cost Tables - READ ONLY'!$H$10:$H$172,"BLANK",0)</f>
        <v>1787.5</v>
      </c>
      <c r="AJ35" s="476">
        <f>_xlfn.XLOOKUP($U35,'PCA Cost Tables - READ ONLY'!$E$10:$E$172,'PCA Cost Tables - READ ONLY'!$J$10:$J$172,"BLANK",0)</f>
        <v>2681.25</v>
      </c>
      <c r="AK35" s="476">
        <f>_xlfn.XLOOKUP($U35,'PCA Cost Tables - READ ONLY'!$E$10:$E$172,'PCA Cost Tables - READ ONLY'!$L$10:$L$172,"BLANK",0)</f>
        <v>3575</v>
      </c>
      <c r="AL35" s="477" t="b">
        <f>IF($AE35="SF",IF($AF35="X",'Base Information Sheet'!$B$23*'Physical Condition Assessment'!$E35*'Physical Condition Assessment'!$AJ35,"-"))</f>
        <v>0</v>
      </c>
      <c r="AM35" s="477" t="b">
        <f>IF($AE35="SF",IF($AG35="X",'Base Information Sheet'!$B$23*'Physical Condition Assessment'!$E35*'Physical Condition Assessment'!$AK35,"-"))</f>
        <v>0</v>
      </c>
      <c r="AN35" s="477" t="str">
        <f>IF($AE35="Unit",IF($AF35="X",'Physical Condition Assessment'!$E35*'Physical Condition Assessment'!$AJ35,"-"))</f>
        <v>-</v>
      </c>
      <c r="AO35" s="477">
        <f>IF($AE35="Unit",IF($AG35="X",'Physical Condition Assessment'!$E35*'Physical Condition Assessment'!$AK35,"-"))</f>
        <v>0</v>
      </c>
      <c r="AP35" s="477">
        <f t="shared" si="0"/>
        <v>0</v>
      </c>
      <c r="AQ35" s="478" t="e">
        <f t="shared" si="1"/>
        <v>#DIV/0!</v>
      </c>
      <c r="AR35" s="734"/>
      <c r="AS35" s="734">
        <v>30</v>
      </c>
      <c r="AT35" s="737">
        <f ca="1">IF($AR35&gt;0,$C$5-$AR35,$C$5-'Base Information Sheet'!$B$15)</f>
        <v>2026</v>
      </c>
      <c r="AU35" s="737">
        <f>IF($AR35&gt;0,$AR35+$AS35,'Base Information Sheet'!$B$15+'Physical Condition Assessment'!$AS35)</f>
        <v>30</v>
      </c>
      <c r="AV35" s="738">
        <f ca="1">IF($N35="x",0,IF($AU35&lt;=$C$5,'Physical Condition Assessment'!$AP35,0))</f>
        <v>0</v>
      </c>
      <c r="AW35" s="738">
        <f ca="1">IF(AV35&gt;0,0,IF($N35="x",0,IF(($AU35-6)&lt;$C$5,'Physical Condition Assessment'!$AP35,0)))</f>
        <v>0</v>
      </c>
      <c r="AX35" s="738">
        <f ca="1">IF(SUM(AV35:AW35)&gt;0,0,IF($N35="x",0,IF(($AU35-11)&lt;$C$5,'Physical Condition Assessment'!$AP35,0)))</f>
        <v>0</v>
      </c>
      <c r="AY35" s="738">
        <f ca="1">IF(SUM(AV35:AX35)&gt;0,0,IF($N35="x",0,IF(($AU35-16)&lt;$C$5,'Physical Condition Assessment'!$AP35,0)))</f>
        <v>0</v>
      </c>
    </row>
    <row r="36" spans="1:51" ht="16" thickBot="1" x14ac:dyDescent="0.25">
      <c r="A36" s="755" t="s">
        <v>27</v>
      </c>
      <c r="B36" s="756" t="s">
        <v>96</v>
      </c>
      <c r="C36" s="502" t="s">
        <v>123</v>
      </c>
      <c r="D36" s="537" t="s">
        <v>127</v>
      </c>
      <c r="E36" s="731"/>
      <c r="F36" s="729"/>
      <c r="G36" s="537" t="s">
        <v>41</v>
      </c>
      <c r="H36" s="732"/>
      <c r="I36" s="537" t="s">
        <v>42</v>
      </c>
      <c r="J36" s="732"/>
      <c r="K36" s="537" t="s">
        <v>43</v>
      </c>
      <c r="L36" s="732"/>
      <c r="M36" s="537" t="s">
        <v>44</v>
      </c>
      <c r="N36" s="732"/>
      <c r="O36" s="537" t="s">
        <v>52</v>
      </c>
      <c r="P36" s="2"/>
      <c r="Q36" s="3" t="s">
        <v>52</v>
      </c>
      <c r="R36" s="783"/>
      <c r="S36" s="784">
        <f>'Physical Condition Assessment'!E36*'PCA Cost Tables - READ ONLY'!P36*'Physical Condition Assessment'!R36*'Base Information Sheet'!$B$38*'Base Information Sheet'!$B$37</f>
        <v>0</v>
      </c>
      <c r="T36" s="786"/>
      <c r="U36" t="s">
        <v>128</v>
      </c>
      <c r="V36" s="502" t="s">
        <v>125</v>
      </c>
      <c r="W36" s="849"/>
      <c r="X36" s="850"/>
      <c r="Y36" s="627">
        <f>W36/2880</f>
        <v>0</v>
      </c>
      <c r="AE36" s="475" t="s">
        <v>51</v>
      </c>
      <c r="AF36" s="475"/>
      <c r="AG36" s="475" t="s">
        <v>72</v>
      </c>
      <c r="AH36" s="476">
        <f>_xlfn.XLOOKUP($U36,'PCA Cost Tables - READ ONLY'!$E$10:$E$172,'PCA Cost Tables - READ ONLY'!$F$10:$F$172,"BLANK",0)</f>
        <v>446.875</v>
      </c>
      <c r="AI36" s="476">
        <f>_xlfn.XLOOKUP($U36,'PCA Cost Tables - READ ONLY'!$E$10:$E$172,'PCA Cost Tables - READ ONLY'!$H$10:$H$172,"BLANK",0)</f>
        <v>1787.5</v>
      </c>
      <c r="AJ36" s="476">
        <f>_xlfn.XLOOKUP($U36,'PCA Cost Tables - READ ONLY'!$E$10:$E$172,'PCA Cost Tables - READ ONLY'!$J$10:$J$172,"BLANK",0)</f>
        <v>2323.75</v>
      </c>
      <c r="AK36" s="476">
        <f>_xlfn.XLOOKUP($U36,'PCA Cost Tables - READ ONLY'!$E$10:$E$172,'PCA Cost Tables - READ ONLY'!$L$10:$L$172,"BLANK",0)</f>
        <v>3217.5</v>
      </c>
      <c r="AL36" s="477" t="b">
        <f>IF($AE36="SF",IF($AF36="X",'Base Information Sheet'!$B$23*'Physical Condition Assessment'!$E36*'Physical Condition Assessment'!$AJ36,"-"))</f>
        <v>0</v>
      </c>
      <c r="AM36" s="477" t="b">
        <f>IF($AE36="SF",IF($AG36="X",'Base Information Sheet'!$B$23*'Physical Condition Assessment'!$E36*'Physical Condition Assessment'!$AK36,"-"))</f>
        <v>0</v>
      </c>
      <c r="AN36" s="477" t="str">
        <f>IF($AE36="Unit",IF($AF36="X",'Physical Condition Assessment'!$E36*'Physical Condition Assessment'!$AJ36,"-"))</f>
        <v>-</v>
      </c>
      <c r="AO36" s="477">
        <f>IF($AE36="Unit",IF($AG36="X",'Physical Condition Assessment'!$E36*'Physical Condition Assessment'!$AK36,"-"))</f>
        <v>0</v>
      </c>
      <c r="AP36" s="477">
        <f t="shared" si="0"/>
        <v>0</v>
      </c>
      <c r="AQ36" s="478" t="e">
        <f t="shared" si="1"/>
        <v>#DIV/0!</v>
      </c>
      <c r="AR36" s="734"/>
      <c r="AS36" s="734">
        <v>30</v>
      </c>
      <c r="AT36" s="737">
        <f ca="1">IF($AR36&gt;0,$C$5-$AR36,$C$5-'Base Information Sheet'!$B$15)</f>
        <v>2026</v>
      </c>
      <c r="AU36" s="737">
        <f>IF($AR36&gt;0,$AR36+$AS36,'Base Information Sheet'!$B$15+'Physical Condition Assessment'!$AS36)</f>
        <v>30</v>
      </c>
      <c r="AV36" s="738">
        <f ca="1">IF($N36="x",0,IF($AU36&lt;=$C$5,'Physical Condition Assessment'!$AP36,0))</f>
        <v>0</v>
      </c>
      <c r="AW36" s="738">
        <f ca="1">IF(AV36&gt;0,0,IF($N36="x",0,IF(($AU36-6)&lt;$C$5,'Physical Condition Assessment'!$AP36,0)))</f>
        <v>0</v>
      </c>
      <c r="AX36" s="738">
        <f ca="1">IF(SUM(AV36:AW36)&gt;0,0,IF($N36="x",0,IF(($AU36-11)&lt;$C$5,'Physical Condition Assessment'!$AP36,0)))</f>
        <v>0</v>
      </c>
      <c r="AY36" s="738">
        <f ca="1">IF(SUM(AV36:AX36)&gt;0,0,IF($N36="x",0,IF(($AU36-16)&lt;$C$5,'Physical Condition Assessment'!$AP36,0)))</f>
        <v>0</v>
      </c>
    </row>
    <row r="37" spans="1:51" ht="16" thickBot="1" x14ac:dyDescent="0.25">
      <c r="A37" s="755" t="s">
        <v>27</v>
      </c>
      <c r="B37" s="756" t="s">
        <v>96</v>
      </c>
      <c r="C37" s="502" t="s">
        <v>123</v>
      </c>
      <c r="D37" s="537" t="s">
        <v>129</v>
      </c>
      <c r="E37" s="730"/>
      <c r="F37" s="729"/>
      <c r="G37" s="537" t="s">
        <v>41</v>
      </c>
      <c r="H37" s="732"/>
      <c r="I37" s="537" t="s">
        <v>42</v>
      </c>
      <c r="J37" s="732"/>
      <c r="K37" s="537" t="s">
        <v>43</v>
      </c>
      <c r="L37" s="732"/>
      <c r="M37" s="537" t="s">
        <v>44</v>
      </c>
      <c r="N37" s="732"/>
      <c r="O37" s="537" t="s">
        <v>52</v>
      </c>
      <c r="P37" s="1"/>
      <c r="Q37" s="3"/>
      <c r="R37" s="783"/>
      <c r="S37" s="784">
        <f>'Physical Condition Assessment'!E37*'PCA Cost Tables - READ ONLY'!P37*'Physical Condition Assessment'!R37*'Base Information Sheet'!$B$38*'Base Information Sheet'!$B$37</f>
        <v>0</v>
      </c>
      <c r="T37" s="786"/>
      <c r="U37" t="s">
        <v>130</v>
      </c>
      <c r="V37" s="502" t="s">
        <v>125</v>
      </c>
      <c r="AE37" s="475" t="s">
        <v>51</v>
      </c>
      <c r="AF37" s="475"/>
      <c r="AG37" s="475" t="s">
        <v>72</v>
      </c>
      <c r="AH37" s="476">
        <f>_xlfn.XLOOKUP($U37,'PCA Cost Tables - READ ONLY'!$E$10:$E$172,'PCA Cost Tables - READ ONLY'!$F$10:$F$172,"BLANK",0)</f>
        <v>450.45</v>
      </c>
      <c r="AI37" s="476">
        <f>_xlfn.XLOOKUP($U37,'PCA Cost Tables - READ ONLY'!$E$10:$E$172,'PCA Cost Tables - READ ONLY'!$H$10:$H$172,"BLANK",0)</f>
        <v>2162.16</v>
      </c>
      <c r="AJ37" s="476">
        <f>_xlfn.XLOOKUP($U37,'PCA Cost Tables - READ ONLY'!$E$10:$E$172,'PCA Cost Tables - READ ONLY'!$J$10:$J$172,"BLANK",0)</f>
        <v>4324.32</v>
      </c>
      <c r="AK37" s="476">
        <f>_xlfn.XLOOKUP($U37,'PCA Cost Tables - READ ONLY'!$E$10:$E$172,'PCA Cost Tables - READ ONLY'!$L$10:$L$172,"BLANK",0)</f>
        <v>5405.4</v>
      </c>
      <c r="AL37" s="477" t="b">
        <f>IF($AE37="SF",IF($AF37="X",'Base Information Sheet'!$B$23*'Physical Condition Assessment'!$E37*'Physical Condition Assessment'!$AJ37,"-"))</f>
        <v>0</v>
      </c>
      <c r="AM37" s="477" t="b">
        <f>IF($AE37="SF",IF($AG37="X",'Base Information Sheet'!$B$23*'Physical Condition Assessment'!$E37*'Physical Condition Assessment'!$AK37,"-"))</f>
        <v>0</v>
      </c>
      <c r="AN37" s="477" t="str">
        <f>IF($AE37="Unit",IF($AF37="X",'Physical Condition Assessment'!$E37*'Physical Condition Assessment'!$AJ37,"-"))</f>
        <v>-</v>
      </c>
      <c r="AO37" s="477">
        <f>IF($AE37="Unit",IF($AG37="X",'Physical Condition Assessment'!$E37*'Physical Condition Assessment'!$AK37,"-"))</f>
        <v>0</v>
      </c>
      <c r="AP37" s="477">
        <f t="shared" si="0"/>
        <v>0</v>
      </c>
      <c r="AQ37" s="478" t="e">
        <f t="shared" si="1"/>
        <v>#DIV/0!</v>
      </c>
      <c r="AR37" s="734"/>
      <c r="AS37" s="734">
        <v>30</v>
      </c>
      <c r="AT37" s="737">
        <f ca="1">IF($AR37&gt;0,$C$5-$AR37,$C$5-'Base Information Sheet'!$B$15)</f>
        <v>2026</v>
      </c>
      <c r="AU37" s="737">
        <f>IF($AR37&gt;0,$AR37+$AS37,'Base Information Sheet'!$B$15+'Physical Condition Assessment'!$AS37)</f>
        <v>30</v>
      </c>
      <c r="AV37" s="738">
        <f ca="1">IF($N37="x",0,IF($AU37&lt;=$C$5,'Physical Condition Assessment'!$AP37,0))</f>
        <v>0</v>
      </c>
      <c r="AW37" s="738">
        <f ca="1">IF(AV37&gt;0,0,IF($N37="x",0,IF(($AU37-6)&lt;$C$5,'Physical Condition Assessment'!$AP37,0)))</f>
        <v>0</v>
      </c>
      <c r="AX37" s="738">
        <f ca="1">IF(SUM(AV37:AW37)&gt;0,0,IF($N37="x",0,IF(($AU37-11)&lt;$C$5,'Physical Condition Assessment'!$AP37,0)))</f>
        <v>0</v>
      </c>
      <c r="AY37" s="738">
        <f ca="1">IF(SUM(AV37:AX37)&gt;0,0,IF($N37="x",0,IF(($AU37-16)&lt;$C$5,'Physical Condition Assessment'!$AP37,0)))</f>
        <v>0</v>
      </c>
    </row>
    <row r="38" spans="1:51" ht="16" thickBot="1" x14ac:dyDescent="0.25">
      <c r="A38" s="755" t="s">
        <v>27</v>
      </c>
      <c r="B38" s="756" t="s">
        <v>96</v>
      </c>
      <c r="C38" s="502" t="s">
        <v>123</v>
      </c>
      <c r="D38" s="502" t="s">
        <v>131</v>
      </c>
      <c r="E38" s="730"/>
      <c r="F38" s="729"/>
      <c r="G38" s="537" t="s">
        <v>41</v>
      </c>
      <c r="H38" s="732"/>
      <c r="I38" s="537" t="s">
        <v>42</v>
      </c>
      <c r="J38" s="732"/>
      <c r="K38" s="537" t="s">
        <v>43</v>
      </c>
      <c r="L38" s="732"/>
      <c r="M38" s="537" t="s">
        <v>44</v>
      </c>
      <c r="N38" s="732"/>
      <c r="O38" s="537" t="s">
        <v>52</v>
      </c>
      <c r="P38" s="1"/>
      <c r="Q38" s="3"/>
      <c r="R38" s="783"/>
      <c r="S38" s="784">
        <f>'Physical Condition Assessment'!E38*'PCA Cost Tables - READ ONLY'!P38*'Physical Condition Assessment'!R38*'Base Information Sheet'!$B$38*'Base Information Sheet'!$B$37</f>
        <v>0</v>
      </c>
      <c r="T38" s="786"/>
      <c r="U38" t="s">
        <v>132</v>
      </c>
      <c r="V38" s="502" t="s">
        <v>125</v>
      </c>
      <c r="AE38" s="475" t="s">
        <v>51</v>
      </c>
      <c r="AF38" s="475"/>
      <c r="AG38" s="475" t="s">
        <v>72</v>
      </c>
      <c r="AH38" s="476">
        <f>_xlfn.XLOOKUP($U38,'PCA Cost Tables - READ ONLY'!$E$10:$E$172,'PCA Cost Tables - READ ONLY'!$F$10:$F$172,"BLANK",0)</f>
        <v>268.125</v>
      </c>
      <c r="AI38" s="476">
        <f>_xlfn.XLOOKUP($U38,'PCA Cost Tables - READ ONLY'!$E$10:$E$172,'PCA Cost Tables - READ ONLY'!$H$10:$H$172,"BLANK",0)</f>
        <v>536.25</v>
      </c>
      <c r="AJ38" s="476">
        <f>_xlfn.XLOOKUP($U38,'PCA Cost Tables - READ ONLY'!$E$10:$E$172,'PCA Cost Tables - READ ONLY'!$J$10:$J$172,"BLANK",0)</f>
        <v>1072.5</v>
      </c>
      <c r="AK38" s="476">
        <f>_xlfn.XLOOKUP($U38,'PCA Cost Tables - READ ONLY'!$E$10:$E$172,'PCA Cost Tables - READ ONLY'!$L$10:$L$172,"BLANK",0)</f>
        <v>2681.25</v>
      </c>
      <c r="AL38" s="477" t="b">
        <f>IF($AE38="SF",IF($AF38="X",'Base Information Sheet'!$B$23*'Physical Condition Assessment'!$E38*'Physical Condition Assessment'!$AJ38,"-"))</f>
        <v>0</v>
      </c>
      <c r="AM38" s="477" t="b">
        <f>IF($AE38="SF",IF($AG38="X",'Base Information Sheet'!$B$23*'Physical Condition Assessment'!$E38*'Physical Condition Assessment'!$AK38,"-"))</f>
        <v>0</v>
      </c>
      <c r="AN38" s="477" t="str">
        <f>IF($AE38="Unit",IF($AF38="X",'Physical Condition Assessment'!$E38*'Physical Condition Assessment'!$AJ38,"-"))</f>
        <v>-</v>
      </c>
      <c r="AO38" s="477">
        <f>IF($AE38="Unit",IF($AG38="X",'Physical Condition Assessment'!$E38*'Physical Condition Assessment'!$AK38,"-"))</f>
        <v>0</v>
      </c>
      <c r="AP38" s="477">
        <f t="shared" si="0"/>
        <v>0</v>
      </c>
      <c r="AQ38" s="478" t="e">
        <f t="shared" si="1"/>
        <v>#DIV/0!</v>
      </c>
      <c r="AR38" s="734"/>
      <c r="AS38" s="734">
        <v>30</v>
      </c>
      <c r="AT38" s="737">
        <f ca="1">IF($AR38&gt;0,$C$5-$AR38,$C$5-'Base Information Sheet'!$B$15)</f>
        <v>2026</v>
      </c>
      <c r="AU38" s="737">
        <f>IF($AR38&gt;0,$AR38+$AS38,'Base Information Sheet'!$B$15+'Physical Condition Assessment'!$AS38)</f>
        <v>30</v>
      </c>
      <c r="AV38" s="738">
        <f ca="1">IF($N38="x",0,IF($AU38&lt;=$C$5,'Physical Condition Assessment'!$AP38,0))</f>
        <v>0</v>
      </c>
      <c r="AW38" s="738">
        <f ca="1">IF(AV38&gt;0,0,IF($N38="x",0,IF(($AU38-6)&lt;$C$5,'Physical Condition Assessment'!$AP38,0)))</f>
        <v>0</v>
      </c>
      <c r="AX38" s="738">
        <f ca="1">IF(SUM(AV38:AW38)&gt;0,0,IF($N38="x",0,IF(($AU38-11)&lt;$C$5,'Physical Condition Assessment'!$AP38,0)))</f>
        <v>0</v>
      </c>
      <c r="AY38" s="738">
        <f ca="1">IF(SUM(AV38:AX38)&gt;0,0,IF($N38="x",0,IF(($AU38-16)&lt;$C$5,'Physical Condition Assessment'!$AP38,0)))</f>
        <v>0</v>
      </c>
    </row>
    <row r="39" spans="1:51" ht="16" thickBot="1" x14ac:dyDescent="0.25">
      <c r="A39" s="755" t="s">
        <v>27</v>
      </c>
      <c r="B39" s="756" t="s">
        <v>96</v>
      </c>
      <c r="C39" s="502" t="s">
        <v>123</v>
      </c>
      <c r="D39" s="502" t="s">
        <v>133</v>
      </c>
      <c r="E39" s="730"/>
      <c r="F39" s="729"/>
      <c r="G39" s="537" t="s">
        <v>41</v>
      </c>
      <c r="H39" s="732"/>
      <c r="I39" s="537" t="s">
        <v>42</v>
      </c>
      <c r="J39" s="732"/>
      <c r="K39" s="537" t="s">
        <v>43</v>
      </c>
      <c r="L39" s="732"/>
      <c r="M39" s="537" t="s">
        <v>44</v>
      </c>
      <c r="N39" s="732"/>
      <c r="O39" s="537" t="s">
        <v>52</v>
      </c>
      <c r="P39" s="1"/>
      <c r="Q39" s="3"/>
      <c r="R39" s="783"/>
      <c r="S39" s="784">
        <f>'Physical Condition Assessment'!E39*'PCA Cost Tables - READ ONLY'!P39*'Physical Condition Assessment'!R39*'Base Information Sheet'!$B$38*'Base Information Sheet'!$B$37</f>
        <v>0</v>
      </c>
      <c r="T39" s="786"/>
      <c r="U39" t="s">
        <v>134</v>
      </c>
      <c r="V39" s="502" t="s">
        <v>125</v>
      </c>
      <c r="AE39" s="475" t="s">
        <v>51</v>
      </c>
      <c r="AF39" s="475"/>
      <c r="AG39" s="475" t="s">
        <v>72</v>
      </c>
      <c r="AH39" s="476">
        <f>_xlfn.XLOOKUP($U39,'PCA Cost Tables - READ ONLY'!$E$10:$E$172,'PCA Cost Tables - READ ONLY'!$F$10:$F$172,"BLANK",0)</f>
        <v>178.75</v>
      </c>
      <c r="AI39" s="476">
        <f>_xlfn.XLOOKUP($U39,'PCA Cost Tables - READ ONLY'!$E$10:$E$172,'PCA Cost Tables - READ ONLY'!$H$10:$H$172,"BLANK",0)</f>
        <v>446.875</v>
      </c>
      <c r="AJ39" s="476">
        <f>_xlfn.XLOOKUP($U39,'PCA Cost Tables - READ ONLY'!$E$10:$E$172,'PCA Cost Tables - READ ONLY'!$J$10:$J$172,"BLANK",0)</f>
        <v>893.75</v>
      </c>
      <c r="AK39" s="476">
        <f>_xlfn.XLOOKUP($U39,'PCA Cost Tables - READ ONLY'!$E$10:$E$172,'PCA Cost Tables - READ ONLY'!$L$10:$L$172,"BLANK",0)</f>
        <v>1787.5</v>
      </c>
      <c r="AL39" s="477" t="b">
        <f>IF($AE39="SF",IF($AF39="X",'Base Information Sheet'!$B$23*'Physical Condition Assessment'!$E39*'Physical Condition Assessment'!$AJ39,"-"))</f>
        <v>0</v>
      </c>
      <c r="AM39" s="477" t="b">
        <f>IF($AE39="SF",IF($AG39="X",'Base Information Sheet'!$B$23*'Physical Condition Assessment'!$E39*'Physical Condition Assessment'!$AK39,"-"))</f>
        <v>0</v>
      </c>
      <c r="AN39" s="477" t="str">
        <f>IF($AE39="Unit",IF($AF39="X",'Physical Condition Assessment'!$E39*'Physical Condition Assessment'!$AJ39,"-"))</f>
        <v>-</v>
      </c>
      <c r="AO39" s="477">
        <f>IF($AE39="Unit",IF($AG39="X",'Physical Condition Assessment'!$E39*'Physical Condition Assessment'!$AK39,"-"))</f>
        <v>0</v>
      </c>
      <c r="AP39" s="477">
        <f t="shared" si="0"/>
        <v>0</v>
      </c>
      <c r="AQ39" s="478" t="e">
        <f t="shared" si="1"/>
        <v>#DIV/0!</v>
      </c>
      <c r="AR39" s="734"/>
      <c r="AS39" s="734">
        <v>30</v>
      </c>
      <c r="AT39" s="737">
        <f ca="1">IF($AR39&gt;0,$C$5-$AR39,$C$5-'Base Information Sheet'!$B$15)</f>
        <v>2026</v>
      </c>
      <c r="AU39" s="737">
        <f>IF($AR39&gt;0,$AR39+$AS39,'Base Information Sheet'!$B$15+'Physical Condition Assessment'!$AS39)</f>
        <v>30</v>
      </c>
      <c r="AV39" s="738">
        <f ca="1">IF($N39="x",0,IF($AU39&lt;=$C$5,'Physical Condition Assessment'!$AP39,0))</f>
        <v>0</v>
      </c>
      <c r="AW39" s="738">
        <f ca="1">IF(AV39&gt;0,0,IF($N39="x",0,IF(($AU39-6)&lt;$C$5,'Physical Condition Assessment'!$AP39,0)))</f>
        <v>0</v>
      </c>
      <c r="AX39" s="738">
        <f ca="1">IF(SUM(AV39:AW39)&gt;0,0,IF($N39="x",0,IF(($AU39-11)&lt;$C$5,'Physical Condition Assessment'!$AP39,0)))</f>
        <v>0</v>
      </c>
      <c r="AY39" s="738">
        <f ca="1">IF(SUM(AV39:AX39)&gt;0,0,IF($N39="x",0,IF(($AU39-16)&lt;$C$5,'Physical Condition Assessment'!$AP39,0)))</f>
        <v>0</v>
      </c>
    </row>
    <row r="40" spans="1:51" ht="16" thickBot="1" x14ac:dyDescent="0.25">
      <c r="A40" s="755"/>
      <c r="B40" s="767" t="s">
        <v>135</v>
      </c>
      <c r="E40" s="766"/>
      <c r="R40" s="787"/>
      <c r="S40" s="469"/>
      <c r="T40" s="788"/>
      <c r="U40"/>
      <c r="AE40" s="491"/>
      <c r="AF40" s="492"/>
      <c r="AG40" s="492"/>
      <c r="AH40" s="492"/>
      <c r="AI40" s="492"/>
      <c r="AJ40" s="493"/>
      <c r="AK40" s="493"/>
      <c r="AL40" s="492"/>
      <c r="AM40" s="492"/>
      <c r="AN40" s="492"/>
      <c r="AO40" s="492"/>
      <c r="AP40" s="494"/>
      <c r="AQ40" s="494"/>
      <c r="AR40" s="747"/>
      <c r="AS40" s="747"/>
      <c r="AT40" s="748"/>
      <c r="AU40" s="749"/>
      <c r="AV40" s="749"/>
      <c r="AW40" s="749"/>
      <c r="AX40" s="749"/>
      <c r="AY40" s="750"/>
    </row>
    <row r="41" spans="1:51" ht="16" thickBot="1" x14ac:dyDescent="0.25">
      <c r="A41" s="755" t="s">
        <v>27</v>
      </c>
      <c r="B41" s="618" t="s">
        <v>135</v>
      </c>
      <c r="C41" s="502" t="s">
        <v>136</v>
      </c>
      <c r="D41" s="502" t="s">
        <v>137</v>
      </c>
      <c r="E41" s="728"/>
      <c r="F41" s="729"/>
      <c r="G41" s="537" t="s">
        <v>41</v>
      </c>
      <c r="H41" s="732"/>
      <c r="I41" s="537" t="s">
        <v>42</v>
      </c>
      <c r="J41" s="732"/>
      <c r="K41" s="537" t="s">
        <v>43</v>
      </c>
      <c r="L41" s="732"/>
      <c r="M41" s="537" t="s">
        <v>44</v>
      </c>
      <c r="N41" s="732"/>
      <c r="O41" s="537" t="s">
        <v>52</v>
      </c>
      <c r="P41" s="2"/>
      <c r="Q41" s="3"/>
      <c r="R41" s="783"/>
      <c r="S41" s="784">
        <f>'Base Information Sheet'!$B$23*'Physical Condition Assessment'!E41*'PCA Cost Tables - READ ONLY'!P41*'Physical Condition Assessment'!R41*'Base Information Sheet'!$B$38*'Base Information Sheet'!$B$37</f>
        <v>0</v>
      </c>
      <c r="T41" s="786"/>
      <c r="U41" t="s">
        <v>138</v>
      </c>
      <c r="V41" s="502" t="s">
        <v>93</v>
      </c>
      <c r="AE41" s="475" t="s">
        <v>71</v>
      </c>
      <c r="AF41" s="475"/>
      <c r="AG41" s="475" t="s">
        <v>72</v>
      </c>
      <c r="AH41" s="476">
        <f>_xlfn.XLOOKUP($U41,'PCA Cost Tables - READ ONLY'!$E$10:$E$172,'PCA Cost Tables - READ ONLY'!$F$10:$F$172,"BLANK",0)</f>
        <v>2.3058000000000001</v>
      </c>
      <c r="AI41" s="476">
        <f>_xlfn.XLOOKUP($U41,'PCA Cost Tables - READ ONLY'!$E$10:$E$172,'PCA Cost Tables - READ ONLY'!$H$10:$H$172,"BLANK",0)</f>
        <v>6.5074800000000002</v>
      </c>
      <c r="AJ41" s="476">
        <f>_xlfn.XLOOKUP($U41,'PCA Cost Tables - READ ONLY'!$E$10:$E$172,'PCA Cost Tables - READ ONLY'!$J$10:$J$172,"BLANK",0)</f>
        <v>18.361000000000001</v>
      </c>
      <c r="AK41" s="476">
        <f>_xlfn.XLOOKUP($U41,'PCA Cost Tables - READ ONLY'!$E$10:$E$172,'PCA Cost Tables - READ ONLY'!$L$10:$L$172,"BLANK",0)</f>
        <v>25.62</v>
      </c>
      <c r="AL41" s="477" t="str">
        <f>IF($AE41="SF",IF($AF41="X",'Base Information Sheet'!$B$23*'Physical Condition Assessment'!$E41*'Physical Condition Assessment'!$AJ41,"-"))</f>
        <v>-</v>
      </c>
      <c r="AM41" s="477">
        <f>IF($AE41="SF",IF($AG41="X",'Base Information Sheet'!$B$23*'Physical Condition Assessment'!$E41*'Physical Condition Assessment'!$AK41,"-"))</f>
        <v>0</v>
      </c>
      <c r="AN41" s="477" t="b">
        <f>IF($AE41="Unit",IF($AF41="X",'Physical Condition Assessment'!$E41*'Physical Condition Assessment'!$AJ41,"-"))</f>
        <v>0</v>
      </c>
      <c r="AO41" s="477" t="b">
        <f>IF($AE41="Unit",IF($AG41="X",'Physical Condition Assessment'!$E41*'Physical Condition Assessment'!$AK41,"-"))</f>
        <v>0</v>
      </c>
      <c r="AP41" s="477">
        <f t="shared" si="0"/>
        <v>0</v>
      </c>
      <c r="AQ41" s="478" t="e">
        <f t="shared" si="1"/>
        <v>#DIV/0!</v>
      </c>
      <c r="AR41" s="734"/>
      <c r="AS41" s="734">
        <v>30</v>
      </c>
      <c r="AT41" s="737">
        <f ca="1">IF($AR41&gt;0,$C$5-$AR41,$C$5-'Base Information Sheet'!$B$15)</f>
        <v>2026</v>
      </c>
      <c r="AU41" s="737">
        <f>IF($AR41&gt;0,$AR41+$AS41,'Base Information Sheet'!$B$15+'Physical Condition Assessment'!$AS41)</f>
        <v>30</v>
      </c>
      <c r="AV41" s="738">
        <f ca="1">IF($N41="x",0,IF($AU41&lt;=$C$5,'Physical Condition Assessment'!$AP41,0))</f>
        <v>0</v>
      </c>
      <c r="AW41" s="738">
        <f ca="1">IF(AV41&gt;0,0,IF($N41="x",0,IF(($AU41-6)&lt;$C$5,'Physical Condition Assessment'!$AP41,0)))</f>
        <v>0</v>
      </c>
      <c r="AX41" s="738">
        <f ca="1">IF(SUM(AV41:AW41)&gt;0,0,IF($N41="x",0,IF(($AU41-11)&lt;$C$5,'Physical Condition Assessment'!$AP41,0)))</f>
        <v>0</v>
      </c>
      <c r="AY41" s="738">
        <f ca="1">IF(SUM(AV41:AX41)&gt;0,0,IF($N41="x",0,IF(($AU41-16)&lt;$C$5,'Physical Condition Assessment'!$AP41,0)))</f>
        <v>0</v>
      </c>
    </row>
    <row r="42" spans="1:51" ht="16" thickBot="1" x14ac:dyDescent="0.25">
      <c r="A42" s="755" t="s">
        <v>27</v>
      </c>
      <c r="B42" s="756" t="s">
        <v>135</v>
      </c>
      <c r="C42" s="502" t="s">
        <v>136</v>
      </c>
      <c r="D42" s="502" t="s">
        <v>139</v>
      </c>
      <c r="E42" s="728"/>
      <c r="F42" s="729"/>
      <c r="G42" s="537" t="s">
        <v>41</v>
      </c>
      <c r="H42" s="732"/>
      <c r="I42" s="537" t="s">
        <v>42</v>
      </c>
      <c r="J42" s="732"/>
      <c r="K42" s="537" t="s">
        <v>43</v>
      </c>
      <c r="L42" s="732"/>
      <c r="M42" s="537" t="s">
        <v>44</v>
      </c>
      <c r="N42" s="732"/>
      <c r="O42" s="537" t="s">
        <v>52</v>
      </c>
      <c r="P42" s="2"/>
      <c r="Q42" s="3" t="s">
        <v>52</v>
      </c>
      <c r="R42" s="783"/>
      <c r="S42" s="784">
        <f>'Base Information Sheet'!$B$23*'Physical Condition Assessment'!E42*'PCA Cost Tables - READ ONLY'!P42*'Physical Condition Assessment'!R42*'Base Information Sheet'!$B$38*'Base Information Sheet'!$B$37</f>
        <v>0</v>
      </c>
      <c r="T42" s="786"/>
      <c r="U42" t="s">
        <v>140</v>
      </c>
      <c r="V42" s="502" t="s">
        <v>93</v>
      </c>
      <c r="AE42" s="475" t="s">
        <v>71</v>
      </c>
      <c r="AF42" s="475"/>
      <c r="AG42" s="475" t="s">
        <v>72</v>
      </c>
      <c r="AH42" s="476">
        <f>_xlfn.XLOOKUP($U42,'PCA Cost Tables - READ ONLY'!$E$10:$E$172,'PCA Cost Tables - READ ONLY'!$F$10:$F$172,"BLANK",0)</f>
        <v>2.3058000000000001</v>
      </c>
      <c r="AI42" s="476">
        <f>_xlfn.XLOOKUP($U42,'PCA Cost Tables - READ ONLY'!$E$10:$E$172,'PCA Cost Tables - READ ONLY'!$H$10:$H$172,"BLANK",0)</f>
        <v>6.5074800000000002</v>
      </c>
      <c r="AJ42" s="476">
        <f>_xlfn.XLOOKUP($U42,'PCA Cost Tables - READ ONLY'!$E$10:$E$172,'PCA Cost Tables - READ ONLY'!$J$10:$J$172,"BLANK",0)</f>
        <v>18.361000000000001</v>
      </c>
      <c r="AK42" s="476">
        <f>_xlfn.XLOOKUP($U42,'PCA Cost Tables - READ ONLY'!$E$10:$E$172,'PCA Cost Tables - READ ONLY'!$L$10:$L$172,"BLANK",0)</f>
        <v>25.62</v>
      </c>
      <c r="AL42" s="477" t="str">
        <f>IF($AE42="SF",IF($AF42="X",'Base Information Sheet'!$B$23*'Physical Condition Assessment'!$E42*'Physical Condition Assessment'!$AJ42,"-"))</f>
        <v>-</v>
      </c>
      <c r="AM42" s="477">
        <f>IF($AE42="SF",IF($AG42="X",'Base Information Sheet'!$B$23*'Physical Condition Assessment'!$E42*'Physical Condition Assessment'!$AK42,"-"))</f>
        <v>0</v>
      </c>
      <c r="AN42" s="477" t="b">
        <f>IF($AE42="Unit",IF($AF42="X",'Physical Condition Assessment'!$E42*'Physical Condition Assessment'!$AJ42,"-"))</f>
        <v>0</v>
      </c>
      <c r="AO42" s="477" t="b">
        <f>IF($AE42="Unit",IF($AG42="X",'Physical Condition Assessment'!$E42*'Physical Condition Assessment'!$AK42,"-"))</f>
        <v>0</v>
      </c>
      <c r="AP42" s="477">
        <f t="shared" si="0"/>
        <v>0</v>
      </c>
      <c r="AQ42" s="478" t="e">
        <f t="shared" si="1"/>
        <v>#DIV/0!</v>
      </c>
      <c r="AR42" s="734"/>
      <c r="AS42" s="734">
        <v>30</v>
      </c>
      <c r="AT42" s="737">
        <f ca="1">IF($AR42&gt;0,$C$5-$AR42,$C$5-'Base Information Sheet'!$B$15)</f>
        <v>2026</v>
      </c>
      <c r="AU42" s="737">
        <f>IF($AR42&gt;0,$AR42+$AS42,'Base Information Sheet'!$B$15+'Physical Condition Assessment'!$AS42)</f>
        <v>30</v>
      </c>
      <c r="AV42" s="738">
        <f ca="1">IF($N42="x",0,IF($AU42&lt;=$C$5,'Physical Condition Assessment'!$AP42,0))</f>
        <v>0</v>
      </c>
      <c r="AW42" s="738">
        <f ca="1">IF(AV42&gt;0,0,IF($N42="x",0,IF(($AU42-6)&lt;$C$5,'Physical Condition Assessment'!$AP42,0)))</f>
        <v>0</v>
      </c>
      <c r="AX42" s="738">
        <f ca="1">IF(SUM(AV42:AW42)&gt;0,0,IF($N42="x",0,IF(($AU42-11)&lt;$C$5,'Physical Condition Assessment'!$AP42,0)))</f>
        <v>0</v>
      </c>
      <c r="AY42" s="738">
        <f ca="1">IF(SUM(AV42:AX42)&gt;0,0,IF($N42="x",0,IF(($AU42-16)&lt;$C$5,'Physical Condition Assessment'!$AP42,0)))</f>
        <v>0</v>
      </c>
    </row>
    <row r="43" spans="1:51" ht="16" thickBot="1" x14ac:dyDescent="0.25">
      <c r="A43" s="755" t="s">
        <v>27</v>
      </c>
      <c r="B43" s="756" t="s">
        <v>135</v>
      </c>
      <c r="C43" s="502" t="s">
        <v>136</v>
      </c>
      <c r="D43" s="502" t="s">
        <v>141</v>
      </c>
      <c r="E43" s="728"/>
      <c r="F43" s="729"/>
      <c r="G43" s="537" t="s">
        <v>41</v>
      </c>
      <c r="H43" s="732"/>
      <c r="I43" s="537" t="s">
        <v>42</v>
      </c>
      <c r="J43" s="732"/>
      <c r="K43" s="537" t="s">
        <v>43</v>
      </c>
      <c r="L43" s="732"/>
      <c r="M43" s="537" t="s">
        <v>44</v>
      </c>
      <c r="N43" s="732"/>
      <c r="O43" s="537" t="s">
        <v>52</v>
      </c>
      <c r="P43" s="2"/>
      <c r="Q43" s="3"/>
      <c r="R43" s="783"/>
      <c r="S43" s="784">
        <f>'Base Information Sheet'!$B$23*'Physical Condition Assessment'!E43*'PCA Cost Tables - READ ONLY'!P43*'Physical Condition Assessment'!R43*'Base Information Sheet'!$B$38*'Base Information Sheet'!$B$37</f>
        <v>0</v>
      </c>
      <c r="T43" s="786"/>
      <c r="U43" t="s">
        <v>142</v>
      </c>
      <c r="V43" s="502" t="s">
        <v>93</v>
      </c>
      <c r="AE43" s="475" t="s">
        <v>71</v>
      </c>
      <c r="AF43" s="475"/>
      <c r="AG43" s="475" t="s">
        <v>72</v>
      </c>
      <c r="AH43" s="476">
        <f>_xlfn.XLOOKUP($U43,'PCA Cost Tables - READ ONLY'!$E$10:$E$172,'PCA Cost Tables - READ ONLY'!$F$10:$F$172,"BLANK",0)</f>
        <v>2.6815599999999997</v>
      </c>
      <c r="AI43" s="476">
        <f>_xlfn.XLOOKUP($U43,'PCA Cost Tables - READ ONLY'!$E$10:$E$172,'PCA Cost Tables - READ ONLY'!$H$10:$H$172,"BLANK",0)</f>
        <v>6.7978399999999999</v>
      </c>
      <c r="AJ43" s="476">
        <f>_xlfn.XLOOKUP($U43,'PCA Cost Tables - READ ONLY'!$E$10:$E$172,'PCA Cost Tables - READ ONLY'!$J$10:$J$172,"BLANK",0)</f>
        <v>20.086079999999999</v>
      </c>
      <c r="AK43" s="476">
        <f>_xlfn.XLOOKUP($U43,'PCA Cost Tables - READ ONLY'!$E$10:$E$172,'PCA Cost Tables - READ ONLY'!$L$10:$L$172,"BLANK",0)</f>
        <v>44.407999999999994</v>
      </c>
      <c r="AL43" s="477" t="str">
        <f>IF($AE43="SF",IF($AF43="X",'Base Information Sheet'!$B$23*'Physical Condition Assessment'!$E43*'Physical Condition Assessment'!$AJ43,"-"))</f>
        <v>-</v>
      </c>
      <c r="AM43" s="477">
        <f>IF($AE43="SF",IF($AG43="X",'Base Information Sheet'!$B$23*'Physical Condition Assessment'!$E43*'Physical Condition Assessment'!$AK43,"-"))</f>
        <v>0</v>
      </c>
      <c r="AN43" s="477" t="b">
        <f>IF($AE43="Unit",IF($AF43="X",'Physical Condition Assessment'!$E43*'Physical Condition Assessment'!$AJ43,"-"))</f>
        <v>0</v>
      </c>
      <c r="AO43" s="477" t="b">
        <f>IF($AE43="Unit",IF($AG43="X",'Physical Condition Assessment'!$E43*'Physical Condition Assessment'!$AK43,"-"))</f>
        <v>0</v>
      </c>
      <c r="AP43" s="477">
        <f t="shared" si="0"/>
        <v>0</v>
      </c>
      <c r="AQ43" s="478" t="e">
        <f t="shared" si="1"/>
        <v>#DIV/0!</v>
      </c>
      <c r="AR43" s="734"/>
      <c r="AS43" s="734">
        <v>30</v>
      </c>
      <c r="AT43" s="737">
        <f ca="1">IF($AR43&gt;0,$C$5-$AR43,$C$5-'Base Information Sheet'!$B$15)</f>
        <v>2026</v>
      </c>
      <c r="AU43" s="737">
        <f>IF($AR43&gt;0,$AR43+$AS43,'Base Information Sheet'!$B$15+'Physical Condition Assessment'!$AS43)</f>
        <v>30</v>
      </c>
      <c r="AV43" s="738">
        <f ca="1">IF($N43="x",0,IF($AU43&lt;=$C$5,'Physical Condition Assessment'!$AP43,0))</f>
        <v>0</v>
      </c>
      <c r="AW43" s="738">
        <f ca="1">IF(AV43&gt;0,0,IF($N43="x",0,IF(($AU43-6)&lt;$C$5,'Physical Condition Assessment'!$AP43,0)))</f>
        <v>0</v>
      </c>
      <c r="AX43" s="738">
        <f ca="1">IF(SUM(AV43:AW43)&gt;0,0,IF($N43="x",0,IF(($AU43-11)&lt;$C$5,'Physical Condition Assessment'!$AP43,0)))</f>
        <v>0</v>
      </c>
      <c r="AY43" s="738">
        <f ca="1">IF(SUM(AV43:AX43)&gt;0,0,IF($N43="x",0,IF(($AU43-16)&lt;$C$5,'Physical Condition Assessment'!$AP43,0)))</f>
        <v>0</v>
      </c>
    </row>
    <row r="44" spans="1:51" ht="16" thickBot="1" x14ac:dyDescent="0.25">
      <c r="A44" s="755" t="s">
        <v>27</v>
      </c>
      <c r="B44" s="756" t="s">
        <v>135</v>
      </c>
      <c r="C44" s="502" t="s">
        <v>136</v>
      </c>
      <c r="D44" s="502" t="s">
        <v>143</v>
      </c>
      <c r="E44" s="728"/>
      <c r="F44" s="729"/>
      <c r="G44" s="537" t="s">
        <v>41</v>
      </c>
      <c r="H44" s="732"/>
      <c r="I44" s="537" t="s">
        <v>42</v>
      </c>
      <c r="J44" s="732"/>
      <c r="K44" s="537" t="s">
        <v>43</v>
      </c>
      <c r="L44" s="732"/>
      <c r="M44" s="537" t="s">
        <v>44</v>
      </c>
      <c r="N44" s="732"/>
      <c r="O44" s="537" t="s">
        <v>52</v>
      </c>
      <c r="P44" s="2"/>
      <c r="Q44" s="3"/>
      <c r="R44" s="783"/>
      <c r="S44" s="784">
        <f>'Base Information Sheet'!$B$23*'Physical Condition Assessment'!E44*'PCA Cost Tables - READ ONLY'!P44*'Physical Condition Assessment'!R44*'Base Information Sheet'!$B$38*'Base Information Sheet'!$B$37</f>
        <v>0</v>
      </c>
      <c r="T44" s="786"/>
      <c r="U44" t="s">
        <v>144</v>
      </c>
      <c r="V44" s="502" t="s">
        <v>93</v>
      </c>
      <c r="AE44" s="475" t="s">
        <v>71</v>
      </c>
      <c r="AF44" s="475"/>
      <c r="AG44" s="475" t="s">
        <v>72</v>
      </c>
      <c r="AH44" s="476">
        <f>_xlfn.XLOOKUP($U44,'PCA Cost Tables - READ ONLY'!$E$10:$E$172,'PCA Cost Tables - READ ONLY'!$F$10:$F$172,"BLANK",0)</f>
        <v>3.8850000000000002</v>
      </c>
      <c r="AI44" s="476">
        <f>_xlfn.XLOOKUP($U44,'PCA Cost Tables - READ ONLY'!$E$10:$E$172,'PCA Cost Tables - READ ONLY'!$H$10:$H$172,"BLANK",0)</f>
        <v>9.1375200000000003</v>
      </c>
      <c r="AJ44" s="476">
        <f>_xlfn.XLOOKUP($U44,'PCA Cost Tables - READ ONLY'!$E$10:$E$172,'PCA Cost Tables - READ ONLY'!$J$10:$J$172,"BLANK",0)</f>
        <v>25.252500000000001</v>
      </c>
      <c r="AK44" s="476">
        <f>_xlfn.XLOOKUP($U44,'PCA Cost Tables - READ ONLY'!$E$10:$E$172,'PCA Cost Tables - READ ONLY'!$L$10:$L$172,"BLANK",0)</f>
        <v>52.835999999999999</v>
      </c>
      <c r="AL44" s="477" t="str">
        <f>IF($AE44="SF",IF($AF44="X",'Base Information Sheet'!$B$23*'Physical Condition Assessment'!$E44*'Physical Condition Assessment'!$AJ44,"-"))</f>
        <v>-</v>
      </c>
      <c r="AM44" s="477">
        <f>IF($AE44="SF",IF($AG44="X",'Base Information Sheet'!$B$23*'Physical Condition Assessment'!$E44*'Physical Condition Assessment'!$AK44,"-"))</f>
        <v>0</v>
      </c>
      <c r="AN44" s="477" t="b">
        <f>IF($AE44="Unit",IF($AF44="X",'Physical Condition Assessment'!$E44*'Physical Condition Assessment'!$AJ44,"-"))</f>
        <v>0</v>
      </c>
      <c r="AO44" s="477" t="b">
        <f>IF($AE44="Unit",IF($AG44="X",'Physical Condition Assessment'!$E44*'Physical Condition Assessment'!$AK44,"-"))</f>
        <v>0</v>
      </c>
      <c r="AP44" s="477">
        <f t="shared" si="0"/>
        <v>0</v>
      </c>
      <c r="AQ44" s="478" t="e">
        <f t="shared" si="1"/>
        <v>#DIV/0!</v>
      </c>
      <c r="AR44" s="734"/>
      <c r="AS44" s="734">
        <v>50</v>
      </c>
      <c r="AT44" s="737">
        <f ca="1">IF($AR44&gt;0,$C$5-$AR44,$C$5-'Base Information Sheet'!$B$15)</f>
        <v>2026</v>
      </c>
      <c r="AU44" s="737">
        <f>IF($AR44&gt;0,$AR44+$AS44,'Base Information Sheet'!$B$15+'Physical Condition Assessment'!$AS44)</f>
        <v>50</v>
      </c>
      <c r="AV44" s="738">
        <f ca="1">IF($N44="x",0,IF($AU44&lt;=$C$5,'Physical Condition Assessment'!$AP44,0))</f>
        <v>0</v>
      </c>
      <c r="AW44" s="738">
        <f ca="1">IF(AV44&gt;0,0,IF($N44="x",0,IF(($AU44-6)&lt;$C$5,'Physical Condition Assessment'!$AP44,0)))</f>
        <v>0</v>
      </c>
      <c r="AX44" s="738">
        <f ca="1">IF(SUM(AV44:AW44)&gt;0,0,IF($N44="x",0,IF(($AU44-11)&lt;$C$5,'Physical Condition Assessment'!$AP44,0)))</f>
        <v>0</v>
      </c>
      <c r="AY44" s="738">
        <f ca="1">IF(SUM(AV44:AX44)&gt;0,0,IF($N44="x",0,IF(($AU44-16)&lt;$C$5,'Physical Condition Assessment'!$AP44,0)))</f>
        <v>0</v>
      </c>
    </row>
    <row r="45" spans="1:51" ht="16" thickBot="1" x14ac:dyDescent="0.25">
      <c r="A45" s="755" t="s">
        <v>27</v>
      </c>
      <c r="B45" s="756" t="s">
        <v>135</v>
      </c>
      <c r="C45" s="502" t="s">
        <v>136</v>
      </c>
      <c r="D45" s="502" t="s">
        <v>145</v>
      </c>
      <c r="E45" s="728"/>
      <c r="F45" s="729"/>
      <c r="G45" s="537" t="s">
        <v>41</v>
      </c>
      <c r="H45" s="732"/>
      <c r="I45" s="537" t="s">
        <v>42</v>
      </c>
      <c r="J45" s="732"/>
      <c r="K45" s="537" t="s">
        <v>43</v>
      </c>
      <c r="L45" s="732"/>
      <c r="M45" s="537" t="s">
        <v>44</v>
      </c>
      <c r="N45" s="732"/>
      <c r="O45" s="537" t="s">
        <v>52</v>
      </c>
      <c r="P45" s="2"/>
      <c r="Q45" s="3"/>
      <c r="R45" s="783"/>
      <c r="S45" s="784">
        <f>'Base Information Sheet'!$B$23*'Physical Condition Assessment'!E45*'PCA Cost Tables - READ ONLY'!P45*'Physical Condition Assessment'!R45*'Base Information Sheet'!$B$38*'Base Information Sheet'!$B$37</f>
        <v>0</v>
      </c>
      <c r="T45" s="786"/>
      <c r="U45" t="s">
        <v>146</v>
      </c>
      <c r="V45" s="502" t="s">
        <v>93</v>
      </c>
      <c r="AE45" s="475" t="s">
        <v>71</v>
      </c>
      <c r="AF45" s="475"/>
      <c r="AG45" s="475" t="s">
        <v>72</v>
      </c>
      <c r="AH45" s="476">
        <f>_xlfn.XLOOKUP($U45,'PCA Cost Tables - READ ONLY'!$E$10:$E$172,'PCA Cost Tables - READ ONLY'!$F$10:$F$172,"BLANK",0)</f>
        <v>2.6815599999999997</v>
      </c>
      <c r="AI45" s="476">
        <f>_xlfn.XLOOKUP($U45,'PCA Cost Tables - READ ONLY'!$E$10:$E$172,'PCA Cost Tables - READ ONLY'!$H$10:$H$172,"BLANK",0)</f>
        <v>6.7978399999999999</v>
      </c>
      <c r="AJ45" s="476">
        <f>_xlfn.XLOOKUP($U45,'PCA Cost Tables - READ ONLY'!$E$10:$E$172,'PCA Cost Tables - READ ONLY'!$J$10:$J$172,"BLANK",0)</f>
        <v>20.086079999999999</v>
      </c>
      <c r="AK45" s="476">
        <f>_xlfn.XLOOKUP($U45,'PCA Cost Tables - READ ONLY'!$E$10:$E$172,'PCA Cost Tables - READ ONLY'!$L$10:$L$172,"BLANK",0)</f>
        <v>44.407999999999994</v>
      </c>
      <c r="AL45" s="477" t="str">
        <f>IF($AE45="SF",IF($AF45="X",'Base Information Sheet'!$B$23*'Physical Condition Assessment'!$E45*'Physical Condition Assessment'!$AJ45,"-"))</f>
        <v>-</v>
      </c>
      <c r="AM45" s="477">
        <f>IF($AE45="SF",IF($AG45="X",'Base Information Sheet'!$B$23*'Physical Condition Assessment'!$E45*'Physical Condition Assessment'!$AK45,"-"))</f>
        <v>0</v>
      </c>
      <c r="AN45" s="477" t="b">
        <f>IF($AE45="Unit",IF($AF45="X",'Physical Condition Assessment'!$E45*'Physical Condition Assessment'!$AJ45,"-"))</f>
        <v>0</v>
      </c>
      <c r="AO45" s="477" t="b">
        <f>IF($AE45="Unit",IF($AG45="X",'Physical Condition Assessment'!$E45*'Physical Condition Assessment'!$AK45,"-"))</f>
        <v>0</v>
      </c>
      <c r="AP45" s="477">
        <f t="shared" si="0"/>
        <v>0</v>
      </c>
      <c r="AQ45" s="478" t="e">
        <f t="shared" si="1"/>
        <v>#DIV/0!</v>
      </c>
      <c r="AR45" s="734"/>
      <c r="AS45" s="734">
        <v>30</v>
      </c>
      <c r="AT45" s="737">
        <f ca="1">IF($AR45&gt;0,$C$5-$AR45,$C$5-'Base Information Sheet'!$B$15)</f>
        <v>2026</v>
      </c>
      <c r="AU45" s="737">
        <f>IF($AR45&gt;0,$AR45+$AS45,'Base Information Sheet'!$B$15+'Physical Condition Assessment'!$AS45)</f>
        <v>30</v>
      </c>
      <c r="AV45" s="738">
        <f ca="1">IF($N45="x",0,IF($AU45&lt;=$C$5,'Physical Condition Assessment'!$AP45,0))</f>
        <v>0</v>
      </c>
      <c r="AW45" s="738">
        <f ca="1">IF(AV45&gt;0,0,IF($N45="x",0,IF(($AU45-6)&lt;$C$5,'Physical Condition Assessment'!$AP45,0)))</f>
        <v>0</v>
      </c>
      <c r="AX45" s="738">
        <f ca="1">IF(SUM(AV45:AW45)&gt;0,0,IF($N45="x",0,IF(($AU45-11)&lt;$C$5,'Physical Condition Assessment'!$AP45,0)))</f>
        <v>0</v>
      </c>
      <c r="AY45" s="738">
        <f ca="1">IF(SUM(AV45:AX45)&gt;0,0,IF($N45="x",0,IF(($AU45-16)&lt;$C$5,'Physical Condition Assessment'!$AP45,0)))</f>
        <v>0</v>
      </c>
    </row>
    <row r="46" spans="1:51" ht="16" thickBot="1" x14ac:dyDescent="0.25">
      <c r="A46" s="755" t="s">
        <v>27</v>
      </c>
      <c r="B46" s="756" t="s">
        <v>135</v>
      </c>
      <c r="C46" s="502" t="s">
        <v>136</v>
      </c>
      <c r="D46" s="502" t="s">
        <v>147</v>
      </c>
      <c r="E46" s="728"/>
      <c r="F46" s="729"/>
      <c r="G46" s="537" t="s">
        <v>41</v>
      </c>
      <c r="H46" s="732"/>
      <c r="I46" s="537" t="s">
        <v>42</v>
      </c>
      <c r="J46" s="732"/>
      <c r="K46" s="537" t="s">
        <v>43</v>
      </c>
      <c r="L46" s="732"/>
      <c r="M46" s="537" t="s">
        <v>44</v>
      </c>
      <c r="N46" s="732"/>
      <c r="O46" s="537" t="s">
        <v>52</v>
      </c>
      <c r="P46" s="2"/>
      <c r="Q46" s="3" t="s">
        <v>52</v>
      </c>
      <c r="R46" s="783"/>
      <c r="S46" s="784">
        <f>'Base Information Sheet'!$B$23*'Physical Condition Assessment'!E46*'PCA Cost Tables - READ ONLY'!P46*'Physical Condition Assessment'!R46*'Base Information Sheet'!$B$38*'Base Information Sheet'!$B$37</f>
        <v>0</v>
      </c>
      <c r="T46" s="786"/>
      <c r="U46" t="s">
        <v>148</v>
      </c>
      <c r="V46" s="502" t="s">
        <v>93</v>
      </c>
      <c r="AE46" s="475" t="s">
        <v>71</v>
      </c>
      <c r="AF46" s="475"/>
      <c r="AG46" s="475" t="s">
        <v>72</v>
      </c>
      <c r="AH46" s="476">
        <f>_xlfn.XLOOKUP($U46,'PCA Cost Tables - READ ONLY'!$E$10:$E$172,'PCA Cost Tables - READ ONLY'!$F$10:$F$172,"BLANK",0)</f>
        <v>4.0137999999999998</v>
      </c>
      <c r="AI46" s="476">
        <f>_xlfn.XLOOKUP($U46,'PCA Cost Tables - READ ONLY'!$E$10:$E$172,'PCA Cost Tables - READ ONLY'!$H$10:$H$172,"BLANK",0)</f>
        <v>7.2760799999999985</v>
      </c>
      <c r="AJ46" s="476">
        <f>_xlfn.XLOOKUP($U46,'PCA Cost Tables - READ ONLY'!$E$10:$E$172,'PCA Cost Tables - READ ONLY'!$J$10:$J$172,"BLANK",0)</f>
        <v>19.31748</v>
      </c>
      <c r="AK46" s="476">
        <f>_xlfn.XLOOKUP($U46,'PCA Cost Tables - READ ONLY'!$E$10:$E$172,'PCA Cost Tables - READ ONLY'!$L$10:$L$172,"BLANK",0)</f>
        <v>40.991999999999997</v>
      </c>
      <c r="AL46" s="477" t="str">
        <f>IF($AE46="SF",IF($AF46="X",'Base Information Sheet'!$B$23*'Physical Condition Assessment'!$E46*'Physical Condition Assessment'!$AJ46,"-"))</f>
        <v>-</v>
      </c>
      <c r="AM46" s="477">
        <f>IF($AE46="SF",IF($AG46="X",'Base Information Sheet'!$B$23*'Physical Condition Assessment'!$E46*'Physical Condition Assessment'!$AK46,"-"))</f>
        <v>0</v>
      </c>
      <c r="AN46" s="477" t="b">
        <f>IF($AE46="Unit",IF($AF46="X",'Physical Condition Assessment'!$E46*'Physical Condition Assessment'!$AJ46,"-"))</f>
        <v>0</v>
      </c>
      <c r="AO46" s="477" t="b">
        <f>IF($AE46="Unit",IF($AG46="X",'Physical Condition Assessment'!$E46*'Physical Condition Assessment'!$AK46,"-"))</f>
        <v>0</v>
      </c>
      <c r="AP46" s="477">
        <f t="shared" si="0"/>
        <v>0</v>
      </c>
      <c r="AQ46" s="478" t="e">
        <f t="shared" si="1"/>
        <v>#DIV/0!</v>
      </c>
      <c r="AR46" s="734"/>
      <c r="AS46" s="734">
        <v>30</v>
      </c>
      <c r="AT46" s="737">
        <f ca="1">IF($AR46&gt;0,$C$5-$AR46,$C$5-'Base Information Sheet'!$B$15)</f>
        <v>2026</v>
      </c>
      <c r="AU46" s="737">
        <f>IF($AR46&gt;0,$AR46+$AS46,'Base Information Sheet'!$B$15+'Physical Condition Assessment'!$AS46)</f>
        <v>30</v>
      </c>
      <c r="AV46" s="738">
        <f ca="1">IF($N46="x",0,IF($AU46&lt;=$C$5,'Physical Condition Assessment'!$AP46,0))</f>
        <v>0</v>
      </c>
      <c r="AW46" s="738">
        <f ca="1">IF(AV46&gt;0,0,IF($N46="x",0,IF(($AU46-6)&lt;$C$5,'Physical Condition Assessment'!$AP46,0)))</f>
        <v>0</v>
      </c>
      <c r="AX46" s="738">
        <f ca="1">IF(SUM(AV46:AW46)&gt;0,0,IF($N46="x",0,IF(($AU46-11)&lt;$C$5,'Physical Condition Assessment'!$AP46,0)))</f>
        <v>0</v>
      </c>
      <c r="AY46" s="738">
        <f ca="1">IF(SUM(AV46:AX46)&gt;0,0,IF($N46="x",0,IF(($AU46-16)&lt;$C$5,'Physical Condition Assessment'!$AP46,0)))</f>
        <v>0</v>
      </c>
    </row>
    <row r="47" spans="1:51" ht="16" thickBot="1" x14ac:dyDescent="0.25">
      <c r="A47" s="755" t="s">
        <v>27</v>
      </c>
      <c r="B47" s="756" t="s">
        <v>135</v>
      </c>
      <c r="C47" s="502" t="s">
        <v>136</v>
      </c>
      <c r="D47" s="502" t="s">
        <v>149</v>
      </c>
      <c r="E47" s="728"/>
      <c r="F47" s="729"/>
      <c r="G47" s="537" t="s">
        <v>41</v>
      </c>
      <c r="H47" s="732"/>
      <c r="I47" s="537" t="s">
        <v>42</v>
      </c>
      <c r="J47" s="732"/>
      <c r="K47" s="537" t="s">
        <v>43</v>
      </c>
      <c r="L47" s="732"/>
      <c r="M47" s="537" t="s">
        <v>44</v>
      </c>
      <c r="N47" s="732"/>
      <c r="O47" s="537" t="s">
        <v>52</v>
      </c>
      <c r="P47" s="2"/>
      <c r="Q47" s="3" t="s">
        <v>52</v>
      </c>
      <c r="R47" s="783"/>
      <c r="S47" s="784">
        <f>'Base Information Sheet'!$B$23*'Physical Condition Assessment'!E47*'PCA Cost Tables - READ ONLY'!P47*'Physical Condition Assessment'!R47*'Base Information Sheet'!$B$38*'Base Information Sheet'!$B$37</f>
        <v>0</v>
      </c>
      <c r="T47" s="786"/>
      <c r="U47" t="s">
        <v>150</v>
      </c>
      <c r="V47" s="502" t="s">
        <v>93</v>
      </c>
      <c r="AE47" s="475" t="s">
        <v>71</v>
      </c>
      <c r="AF47" s="475"/>
      <c r="AG47" s="475" t="s">
        <v>72</v>
      </c>
      <c r="AH47" s="476">
        <f>_xlfn.XLOOKUP($U47,'PCA Cost Tables - READ ONLY'!$E$10:$E$172,'PCA Cost Tables - READ ONLY'!$F$10:$F$172,"BLANK",0)</f>
        <v>4.29</v>
      </c>
      <c r="AI47" s="476">
        <f>_xlfn.XLOOKUP($U47,'PCA Cost Tables - READ ONLY'!$E$10:$E$172,'PCA Cost Tables - READ ONLY'!$H$10:$H$172,"BLANK",0)</f>
        <v>9.6167499999999997</v>
      </c>
      <c r="AJ47" s="476">
        <f>_xlfn.XLOOKUP($U47,'PCA Cost Tables - READ ONLY'!$E$10:$E$172,'PCA Cost Tables - READ ONLY'!$J$10:$J$172,"BLANK",0)</f>
        <v>25.024999999999999</v>
      </c>
      <c r="AK47" s="476">
        <f>_xlfn.XLOOKUP($U47,'PCA Cost Tables - READ ONLY'!$E$10:$E$172,'PCA Cost Tables - READ ONLY'!$L$10:$L$172,"BLANK",0)</f>
        <v>57.199999999999996</v>
      </c>
      <c r="AL47" s="477" t="str">
        <f>IF($AE47="SF",IF($AF47="X",'Base Information Sheet'!$B$23*'Physical Condition Assessment'!$E47*'Physical Condition Assessment'!$AJ47,"-"))</f>
        <v>-</v>
      </c>
      <c r="AM47" s="477">
        <f>IF($AE47="SF",IF($AG47="X",'Base Information Sheet'!$B$23*'Physical Condition Assessment'!$E47*'Physical Condition Assessment'!$AK47,"-"))</f>
        <v>0</v>
      </c>
      <c r="AN47" s="477" t="b">
        <f>IF($AE47="Unit",IF($AF47="X",'Physical Condition Assessment'!$E47*'Physical Condition Assessment'!$AJ47,"-"))</f>
        <v>0</v>
      </c>
      <c r="AO47" s="477" t="b">
        <f>IF($AE47="Unit",IF($AG47="X",'Physical Condition Assessment'!$E47*'Physical Condition Assessment'!$AK47,"-"))</f>
        <v>0</v>
      </c>
      <c r="AP47" s="477">
        <f t="shared" si="0"/>
        <v>0</v>
      </c>
      <c r="AQ47" s="478" t="e">
        <f t="shared" si="1"/>
        <v>#DIV/0!</v>
      </c>
      <c r="AR47" s="734"/>
      <c r="AS47" s="734">
        <v>50</v>
      </c>
      <c r="AT47" s="737">
        <f ca="1">IF($AR47&gt;0,$C$5-$AR47,$C$5-'Base Information Sheet'!$B$15)</f>
        <v>2026</v>
      </c>
      <c r="AU47" s="737">
        <f>IF($AR47&gt;0,$AR47+$AS47,'Base Information Sheet'!$B$15+'Physical Condition Assessment'!$AS47)</f>
        <v>50</v>
      </c>
      <c r="AV47" s="738">
        <f ca="1">IF($N47="x",0,IF($AU47&lt;=$C$5,'Physical Condition Assessment'!$AP47,0))</f>
        <v>0</v>
      </c>
      <c r="AW47" s="738">
        <f ca="1">IF(AV47&gt;0,0,IF($N47="x",0,IF(($AU47-6)&lt;$C$5,'Physical Condition Assessment'!$AP47,0)))</f>
        <v>0</v>
      </c>
      <c r="AX47" s="738">
        <f ca="1">IF(SUM(AV47:AW47)&gt;0,0,IF($N47="x",0,IF(($AU47-11)&lt;$C$5,'Physical Condition Assessment'!$AP47,0)))</f>
        <v>0</v>
      </c>
      <c r="AY47" s="738">
        <f ca="1">IF(SUM(AV47:AX47)&gt;0,0,IF($N47="x",0,IF(($AU47-16)&lt;$C$5,'Physical Condition Assessment'!$AP47,0)))</f>
        <v>0</v>
      </c>
    </row>
    <row r="48" spans="1:51" ht="16" thickBot="1" x14ac:dyDescent="0.25">
      <c r="A48" s="755" t="s">
        <v>27</v>
      </c>
      <c r="B48" s="756" t="s">
        <v>135</v>
      </c>
      <c r="C48" s="502" t="s">
        <v>136</v>
      </c>
      <c r="D48" s="502" t="s">
        <v>151</v>
      </c>
      <c r="E48" s="728"/>
      <c r="F48" s="729"/>
      <c r="G48" s="537" t="s">
        <v>41</v>
      </c>
      <c r="H48" s="732"/>
      <c r="I48" s="537" t="s">
        <v>42</v>
      </c>
      <c r="J48" s="732"/>
      <c r="K48" s="537" t="s">
        <v>43</v>
      </c>
      <c r="L48" s="732"/>
      <c r="M48" s="537" t="s">
        <v>44</v>
      </c>
      <c r="N48" s="732"/>
      <c r="O48" s="537" t="s">
        <v>52</v>
      </c>
      <c r="P48" s="2"/>
      <c r="Q48" s="3" t="s">
        <v>52</v>
      </c>
      <c r="R48" s="783"/>
      <c r="S48" s="784">
        <f>'Base Information Sheet'!$B$23*'Physical Condition Assessment'!E48*'PCA Cost Tables - READ ONLY'!P48*'Physical Condition Assessment'!R48*'Base Information Sheet'!$B$38*'Base Information Sheet'!$B$37</f>
        <v>0</v>
      </c>
      <c r="T48" s="786"/>
      <c r="U48" t="s">
        <v>152</v>
      </c>
      <c r="V48" s="502" t="s">
        <v>93</v>
      </c>
      <c r="AE48" s="475" t="s">
        <v>71</v>
      </c>
      <c r="AF48" s="475"/>
      <c r="AG48" s="475" t="s">
        <v>72</v>
      </c>
      <c r="AH48" s="476">
        <f>_xlfn.XLOOKUP($U48,'PCA Cost Tables - READ ONLY'!$E$10:$E$172,'PCA Cost Tables - READ ONLY'!$F$10:$F$172,"BLANK",0)</f>
        <v>3.8850000000000002</v>
      </c>
      <c r="AI48" s="476">
        <f>_xlfn.XLOOKUP($U48,'PCA Cost Tables - READ ONLY'!$E$10:$E$172,'PCA Cost Tables - READ ONLY'!$H$10:$H$172,"BLANK",0)</f>
        <v>9.1375200000000003</v>
      </c>
      <c r="AJ48" s="476">
        <f>_xlfn.XLOOKUP($U48,'PCA Cost Tables - READ ONLY'!$E$10:$E$172,'PCA Cost Tables - READ ONLY'!$J$10:$J$172,"BLANK",0)</f>
        <v>25.252500000000001</v>
      </c>
      <c r="AK48" s="476">
        <f>_xlfn.XLOOKUP($U48,'PCA Cost Tables - READ ONLY'!$E$10:$E$172,'PCA Cost Tables - READ ONLY'!$L$10:$L$172,"BLANK",0)</f>
        <v>52.835999999999999</v>
      </c>
      <c r="AL48" s="477" t="str">
        <f>IF($AE48="SF",IF($AF48="X",'Base Information Sheet'!$B$23*'Physical Condition Assessment'!$E48*'Physical Condition Assessment'!$AJ48,"-"))</f>
        <v>-</v>
      </c>
      <c r="AM48" s="477">
        <f>IF($AE48="SF",IF($AG48="X",'Base Information Sheet'!$B$23*'Physical Condition Assessment'!$E48*'Physical Condition Assessment'!$AK48,"-"))</f>
        <v>0</v>
      </c>
      <c r="AN48" s="477" t="b">
        <f>IF($AE48="Unit",IF($AF48="X",'Physical Condition Assessment'!$E48*'Physical Condition Assessment'!$AJ48,"-"))</f>
        <v>0</v>
      </c>
      <c r="AO48" s="477" t="b">
        <f>IF($AE48="Unit",IF($AG48="X",'Physical Condition Assessment'!$E48*'Physical Condition Assessment'!$AK48,"-"))</f>
        <v>0</v>
      </c>
      <c r="AP48" s="477">
        <f t="shared" si="0"/>
        <v>0</v>
      </c>
      <c r="AQ48" s="478" t="e">
        <f t="shared" si="1"/>
        <v>#DIV/0!</v>
      </c>
      <c r="AR48" s="734"/>
      <c r="AS48" s="734">
        <v>50</v>
      </c>
      <c r="AT48" s="737">
        <f ca="1">IF($AR48&gt;0,$C$5-$AR48,$C$5-'Base Information Sheet'!$B$15)</f>
        <v>2026</v>
      </c>
      <c r="AU48" s="737">
        <f>IF($AR48&gt;0,$AR48+$AS48,'Base Information Sheet'!$B$15+'Physical Condition Assessment'!$AS48)</f>
        <v>50</v>
      </c>
      <c r="AV48" s="738">
        <f ca="1">IF($N48="x",0,IF($AU48&lt;=$C$5,'Physical Condition Assessment'!$AP48,0))</f>
        <v>0</v>
      </c>
      <c r="AW48" s="738">
        <f ca="1">IF(AV48&gt;0,0,IF($N48="x",0,IF(($AU48-6)&lt;$C$5,'Physical Condition Assessment'!$AP48,0)))</f>
        <v>0</v>
      </c>
      <c r="AX48" s="738">
        <f ca="1">IF(SUM(AV48:AW48)&gt;0,0,IF($N48="x",0,IF(($AU48-11)&lt;$C$5,'Physical Condition Assessment'!$AP48,0)))</f>
        <v>0</v>
      </c>
      <c r="AY48" s="738">
        <f ca="1">IF(SUM(AV48:AX48)&gt;0,0,IF($N48="x",0,IF(($AU48-16)&lt;$C$5,'Physical Condition Assessment'!$AP48,0)))</f>
        <v>0</v>
      </c>
    </row>
    <row r="49" spans="1:51" ht="16" thickBot="1" x14ac:dyDescent="0.25">
      <c r="A49" s="755" t="s">
        <v>27</v>
      </c>
      <c r="B49" s="756" t="s">
        <v>135</v>
      </c>
      <c r="C49" s="502" t="s">
        <v>153</v>
      </c>
      <c r="D49" s="768" t="s">
        <v>154</v>
      </c>
      <c r="E49" s="730"/>
      <c r="F49" s="729"/>
      <c r="G49" s="537" t="s">
        <v>41</v>
      </c>
      <c r="H49" s="732"/>
      <c r="I49" s="537" t="s">
        <v>42</v>
      </c>
      <c r="J49" s="732"/>
      <c r="K49" s="537" t="s">
        <v>43</v>
      </c>
      <c r="L49" s="732"/>
      <c r="M49" s="537" t="s">
        <v>44</v>
      </c>
      <c r="N49" s="732"/>
      <c r="O49" s="537" t="s">
        <v>52</v>
      </c>
      <c r="P49" s="2"/>
      <c r="Q49" s="3" t="s">
        <v>52</v>
      </c>
      <c r="R49" s="783"/>
      <c r="S49" s="784">
        <f>'Base Information Sheet'!$B$23*'Physical Condition Assessment'!E49*'PCA Cost Tables - READ ONLY'!P49*'Physical Condition Assessment'!R49*'Base Information Sheet'!$B$38*'Base Information Sheet'!$B$37</f>
        <v>0</v>
      </c>
      <c r="T49" s="786"/>
      <c r="U49" t="s">
        <v>155</v>
      </c>
      <c r="V49" s="502" t="s">
        <v>93</v>
      </c>
      <c r="AE49" s="475" t="s">
        <v>71</v>
      </c>
      <c r="AF49" s="475"/>
      <c r="AG49" s="475" t="s">
        <v>72</v>
      </c>
      <c r="AH49" s="476">
        <f>_xlfn.XLOOKUP($U49,'PCA Cost Tables - READ ONLY'!$E$10:$E$172,'PCA Cost Tables - READ ONLY'!$F$10:$F$172,"BLANK",0)</f>
        <v>0.13986000000000001</v>
      </c>
      <c r="AI49" s="476">
        <f>_xlfn.XLOOKUP($U49,'PCA Cost Tables - READ ONLY'!$E$10:$E$172,'PCA Cost Tables - READ ONLY'!$H$10:$H$172,"BLANK",0)</f>
        <v>0.41958000000000001</v>
      </c>
      <c r="AJ49" s="476">
        <f>_xlfn.XLOOKUP($U49,'PCA Cost Tables - READ ONLY'!$E$10:$E$172,'PCA Cost Tables - READ ONLY'!$J$10:$J$172,"BLANK",0)</f>
        <v>1.3986000000000001</v>
      </c>
      <c r="AK49" s="476">
        <f>_xlfn.XLOOKUP($U49,'PCA Cost Tables - READ ONLY'!$E$10:$E$172,'PCA Cost Tables - READ ONLY'!$L$10:$L$172,"BLANK",0)</f>
        <v>2.7972000000000001</v>
      </c>
      <c r="AL49" s="477" t="str">
        <f>IF($AE49="SF",IF($AF49="X",'Base Information Sheet'!$B$23*'Physical Condition Assessment'!$E49*'Physical Condition Assessment'!$AJ49,"-"))</f>
        <v>-</v>
      </c>
      <c r="AM49" s="477">
        <f>IF($AE49="SF",IF($AG49="X",'Base Information Sheet'!$B$23*'Physical Condition Assessment'!$E49*'Physical Condition Assessment'!$AK49,"-"))</f>
        <v>0</v>
      </c>
      <c r="AN49" s="477" t="b">
        <f>IF($AE49="Unit",IF($AF49="X",'Physical Condition Assessment'!$E49*'Physical Condition Assessment'!$AJ49,"-"))</f>
        <v>0</v>
      </c>
      <c r="AO49" s="477" t="b">
        <f>IF($AE49="Unit",IF($AG49="X",'Physical Condition Assessment'!$E49*'Physical Condition Assessment'!$AK49,"-"))</f>
        <v>0</v>
      </c>
      <c r="AP49" s="477">
        <f t="shared" si="0"/>
        <v>0</v>
      </c>
      <c r="AQ49" s="478" t="e">
        <f t="shared" si="1"/>
        <v>#DIV/0!</v>
      </c>
      <c r="AR49" s="734"/>
      <c r="AS49" s="734">
        <v>20</v>
      </c>
      <c r="AT49" s="737">
        <f ca="1">IF($AR49&gt;0,$C$5-$AR49,$C$5-'Base Information Sheet'!$B$15)</f>
        <v>2026</v>
      </c>
      <c r="AU49" s="737">
        <f>IF($AR49&gt;0,$AR49+$AS49,'Base Information Sheet'!$B$15+'Physical Condition Assessment'!$AS49)</f>
        <v>20</v>
      </c>
      <c r="AV49" s="738">
        <f ca="1">IF($N49="x",0,IF($AU49&lt;=$C$5,'Physical Condition Assessment'!$AP49,0))</f>
        <v>0</v>
      </c>
      <c r="AW49" s="738">
        <f ca="1">IF(AV49&gt;0,0,IF($N49="x",0,IF(($AU49-6)&lt;$C$5,'Physical Condition Assessment'!$AP49,0)))</f>
        <v>0</v>
      </c>
      <c r="AX49" s="738">
        <f ca="1">IF(SUM(AV49:AW49)&gt;0,0,IF($N49="x",0,IF(($AU49-11)&lt;$C$5,'Physical Condition Assessment'!$AP49,0)))</f>
        <v>0</v>
      </c>
      <c r="AY49" s="738">
        <f ca="1">IF(SUM(AV49:AX49)&gt;0,0,IF($N49="x",0,IF(($AU49-16)&lt;$C$5,'Physical Condition Assessment'!$AP49,0)))</f>
        <v>0</v>
      </c>
    </row>
    <row r="50" spans="1:51" ht="16" thickBot="1" x14ac:dyDescent="0.25">
      <c r="A50" s="755" t="s">
        <v>27</v>
      </c>
      <c r="B50" s="756" t="s">
        <v>135</v>
      </c>
      <c r="C50" s="502" t="s">
        <v>153</v>
      </c>
      <c r="D50" s="768" t="s">
        <v>156</v>
      </c>
      <c r="E50" s="730"/>
      <c r="F50" s="729"/>
      <c r="G50" s="537" t="s">
        <v>41</v>
      </c>
      <c r="H50" s="732"/>
      <c r="I50" s="537" t="s">
        <v>42</v>
      </c>
      <c r="J50" s="732"/>
      <c r="K50" s="537" t="s">
        <v>43</v>
      </c>
      <c r="L50" s="732"/>
      <c r="M50" s="537" t="s">
        <v>44</v>
      </c>
      <c r="N50" s="732"/>
      <c r="O50" s="537" t="s">
        <v>52</v>
      </c>
      <c r="P50" s="2"/>
      <c r="Q50" s="3" t="s">
        <v>52</v>
      </c>
      <c r="R50" s="783"/>
      <c r="S50" s="784">
        <f>'Physical Condition Assessment'!E50*'PCA Cost Tables - READ ONLY'!P50*'Physical Condition Assessment'!R50*'Base Information Sheet'!$B$38*'Base Information Sheet'!$B$37</f>
        <v>0</v>
      </c>
      <c r="T50" s="786"/>
      <c r="U50" t="s">
        <v>157</v>
      </c>
      <c r="V50" s="502" t="s">
        <v>93</v>
      </c>
      <c r="AE50" s="475" t="s">
        <v>51</v>
      </c>
      <c r="AF50" s="475"/>
      <c r="AG50" s="475" t="s">
        <v>72</v>
      </c>
      <c r="AH50" s="476">
        <f>_xlfn.XLOOKUP($U50,'PCA Cost Tables - READ ONLY'!$E$10:$E$172,'PCA Cost Tables - READ ONLY'!$F$10:$F$172,"BLANK",0)</f>
        <v>368.75</v>
      </c>
      <c r="AI50" s="476">
        <f>_xlfn.XLOOKUP($U50,'PCA Cost Tables - READ ONLY'!$E$10:$E$172,'PCA Cost Tables - READ ONLY'!$H$10:$H$172,"BLANK",0)</f>
        <v>737.5</v>
      </c>
      <c r="AJ50" s="476">
        <f>_xlfn.XLOOKUP($U50,'PCA Cost Tables - READ ONLY'!$E$10:$E$172,'PCA Cost Tables - READ ONLY'!$J$10:$J$172,"BLANK",0)</f>
        <v>2212.5</v>
      </c>
      <c r="AK50" s="476">
        <f>_xlfn.XLOOKUP($U50,'PCA Cost Tables - READ ONLY'!$E$10:$E$172,'PCA Cost Tables - READ ONLY'!$L$10:$L$172,"BLANK",0)</f>
        <v>5162.5</v>
      </c>
      <c r="AL50" s="477" t="b">
        <f>IF($AE50="SF",IF($AF50="X",'Base Information Sheet'!$B$23*'Physical Condition Assessment'!$E50*'Physical Condition Assessment'!$AJ50,"-"))</f>
        <v>0</v>
      </c>
      <c r="AM50" s="477" t="b">
        <f>IF($AE50="SF",IF($AG50="X",'Base Information Sheet'!$B$23*'Physical Condition Assessment'!$E50*'Physical Condition Assessment'!$AK50,"-"))</f>
        <v>0</v>
      </c>
      <c r="AN50" s="477" t="str">
        <f>IF($AE50="Unit",IF($AF50="X",'Physical Condition Assessment'!$E50*'Physical Condition Assessment'!$AJ50,"-"))</f>
        <v>-</v>
      </c>
      <c r="AO50" s="477">
        <f>IF($AE50="Unit",IF($AG50="X",'Physical Condition Assessment'!$E50*'Physical Condition Assessment'!$AK50,"-"))</f>
        <v>0</v>
      </c>
      <c r="AP50" s="477">
        <f t="shared" si="0"/>
        <v>0</v>
      </c>
      <c r="AQ50" s="478" t="e">
        <f t="shared" si="1"/>
        <v>#DIV/0!</v>
      </c>
      <c r="AR50" s="734"/>
      <c r="AS50" s="734">
        <v>20</v>
      </c>
      <c r="AT50" s="737">
        <f ca="1">IF($AR50&gt;0,$C$5-$AR50,$C$5-'Base Information Sheet'!$B$15)</f>
        <v>2026</v>
      </c>
      <c r="AU50" s="737">
        <f>IF($AR50&gt;0,$AR50+$AS50,'Base Information Sheet'!$B$15+'Physical Condition Assessment'!$AS50)</f>
        <v>20</v>
      </c>
      <c r="AV50" s="738">
        <f ca="1">IF($N50="x",0,IF($AU50&lt;=$C$5,'Physical Condition Assessment'!$AP50,0))</f>
        <v>0</v>
      </c>
      <c r="AW50" s="738">
        <f ca="1">IF(AV50&gt;0,0,IF($N50="x",0,IF(($AU50-6)&lt;$C$5,'Physical Condition Assessment'!$AP50,0)))</f>
        <v>0</v>
      </c>
      <c r="AX50" s="738">
        <f ca="1">IF(SUM(AV50:AW50)&gt;0,0,IF($N50="x",0,IF(($AU50-11)&lt;$C$5,'Physical Condition Assessment'!$AP50,0)))</f>
        <v>0</v>
      </c>
      <c r="AY50" s="738">
        <f ca="1">IF(SUM(AV50:AX50)&gt;0,0,IF($N50="x",0,IF(($AU50-16)&lt;$C$5,'Physical Condition Assessment'!$AP50,0)))</f>
        <v>0</v>
      </c>
    </row>
    <row r="51" spans="1:51" x14ac:dyDescent="0.2">
      <c r="A51" s="757" t="s">
        <v>158</v>
      </c>
      <c r="B51" s="761"/>
      <c r="C51" s="95"/>
      <c r="D51" s="95"/>
      <c r="E51" s="763"/>
      <c r="F51" s="758"/>
      <c r="G51" s="759"/>
      <c r="H51" s="758"/>
      <c r="I51" s="759"/>
      <c r="J51" s="758"/>
      <c r="K51" s="758"/>
      <c r="L51" s="758"/>
      <c r="M51" s="759"/>
      <c r="N51" s="758"/>
      <c r="O51" s="759"/>
      <c r="P51" s="758"/>
      <c r="Q51" s="759"/>
      <c r="R51" s="794"/>
      <c r="S51" s="795"/>
      <c r="T51" s="793"/>
      <c r="U51" s="15"/>
      <c r="AE51" s="479"/>
      <c r="AF51" s="480"/>
      <c r="AG51" s="480"/>
      <c r="AH51" s="480"/>
      <c r="AI51" s="480"/>
      <c r="AJ51" s="481"/>
      <c r="AK51" s="481"/>
      <c r="AL51" s="480"/>
      <c r="AM51" s="480"/>
      <c r="AN51" s="480"/>
      <c r="AO51" s="480"/>
      <c r="AP51" s="482"/>
      <c r="AQ51" s="482"/>
      <c r="AR51" s="739"/>
      <c r="AS51" s="739"/>
      <c r="AT51" s="740"/>
      <c r="AU51" s="741"/>
      <c r="AV51" s="741"/>
      <c r="AW51" s="741"/>
      <c r="AX51" s="741"/>
      <c r="AY51" s="742"/>
    </row>
    <row r="52" spans="1:51" ht="16" thickBot="1" x14ac:dyDescent="0.25">
      <c r="A52" s="755"/>
      <c r="B52" s="767" t="s">
        <v>159</v>
      </c>
      <c r="E52" s="769"/>
      <c r="R52" s="796"/>
      <c r="S52" s="503"/>
      <c r="T52" s="788"/>
      <c r="U52"/>
      <c r="AE52" s="485"/>
      <c r="AF52" s="486"/>
      <c r="AG52" s="486"/>
      <c r="AH52" s="486"/>
      <c r="AI52" s="486"/>
      <c r="AJ52" s="487"/>
      <c r="AK52" s="487"/>
      <c r="AL52" s="486"/>
      <c r="AM52" s="486"/>
      <c r="AN52" s="486"/>
      <c r="AO52" s="486"/>
      <c r="AP52" s="488"/>
      <c r="AQ52" s="488"/>
      <c r="AR52" s="743"/>
      <c r="AS52" s="743"/>
      <c r="AT52" s="744"/>
      <c r="AU52" s="745"/>
      <c r="AV52" s="745"/>
      <c r="AW52" s="745"/>
      <c r="AX52" s="745"/>
      <c r="AY52" s="746"/>
    </row>
    <row r="53" spans="1:51" ht="16" thickBot="1" x14ac:dyDescent="0.25">
      <c r="A53" s="755" t="s">
        <v>158</v>
      </c>
      <c r="B53" s="618" t="s">
        <v>159</v>
      </c>
      <c r="C53" s="502" t="s">
        <v>160</v>
      </c>
      <c r="D53" s="502" t="s">
        <v>161</v>
      </c>
      <c r="E53" s="728"/>
      <c r="F53" s="729"/>
      <c r="G53" s="537" t="s">
        <v>41</v>
      </c>
      <c r="H53" s="732"/>
      <c r="I53" s="537" t="s">
        <v>42</v>
      </c>
      <c r="J53" s="732"/>
      <c r="K53" s="537" t="s">
        <v>43</v>
      </c>
      <c r="L53" s="732"/>
      <c r="M53" s="537" t="s">
        <v>44</v>
      </c>
      <c r="N53" s="732"/>
      <c r="O53" s="537" t="s">
        <v>52</v>
      </c>
      <c r="P53" s="2"/>
      <c r="Q53" s="3"/>
      <c r="R53" s="783"/>
      <c r="S53" s="784">
        <f>'Base Information Sheet'!$B$23*'Physical Condition Assessment'!E53*'PCA Cost Tables - READ ONLY'!P53*'Physical Condition Assessment'!R53*'Base Information Sheet'!$B$38*'Base Information Sheet'!$B$37</f>
        <v>0</v>
      </c>
      <c r="T53" s="786"/>
      <c r="U53" t="s">
        <v>162</v>
      </c>
      <c r="V53" s="502" t="s">
        <v>85</v>
      </c>
      <c r="AE53" s="475" t="s">
        <v>71</v>
      </c>
      <c r="AF53" s="475"/>
      <c r="AG53" s="475" t="s">
        <v>72</v>
      </c>
      <c r="AH53" s="476">
        <f>_xlfn.XLOOKUP($U53,'PCA Cost Tables - READ ONLY'!$E$10:$E$172,'PCA Cost Tables - READ ONLY'!$F$10:$F$172,"BLANK",0)</f>
        <v>3.9682500000000003</v>
      </c>
      <c r="AI53" s="476">
        <f>_xlfn.XLOOKUP($U53,'PCA Cost Tables - READ ONLY'!$E$10:$E$172,'PCA Cost Tables - READ ONLY'!$H$10:$H$172,"BLANK",0)</f>
        <v>11.904750000000002</v>
      </c>
      <c r="AJ53" s="476">
        <f>_xlfn.XLOOKUP($U53,'PCA Cost Tables - READ ONLY'!$E$10:$E$172,'PCA Cost Tables - READ ONLY'!$J$10:$J$172,"BLANK",0)</f>
        <v>19.841250000000002</v>
      </c>
      <c r="AK53" s="476">
        <f>_xlfn.XLOOKUP($U53,'PCA Cost Tables - READ ONLY'!$E$10:$E$172,'PCA Cost Tables - READ ONLY'!$L$10:$L$172,"BLANK",0)</f>
        <v>24.888864000000002</v>
      </c>
      <c r="AL53" s="477" t="str">
        <f>IF($AE53="SF",IF($AF53="X",'Base Information Sheet'!$B$23*'Physical Condition Assessment'!$E53*'Physical Condition Assessment'!$AJ53,"-"))</f>
        <v>-</v>
      </c>
      <c r="AM53" s="477">
        <f>IF($AE53="SF",IF($AG53="X",'Base Information Sheet'!$B$23*'Physical Condition Assessment'!$E53*'Physical Condition Assessment'!$AK53,"-"))</f>
        <v>0</v>
      </c>
      <c r="AN53" s="477" t="b">
        <f>IF($AE53="Unit",IF($AF53="X",'Physical Condition Assessment'!$E53*'Physical Condition Assessment'!$AJ53,"-"))</f>
        <v>0</v>
      </c>
      <c r="AO53" s="477" t="b">
        <f>IF($AE53="Unit",IF($AG53="X",'Physical Condition Assessment'!$E53*'Physical Condition Assessment'!$AK53,"-"))</f>
        <v>0</v>
      </c>
      <c r="AP53" s="477">
        <f t="shared" si="0"/>
        <v>0</v>
      </c>
      <c r="AQ53" s="478" t="e">
        <f t="shared" si="1"/>
        <v>#DIV/0!</v>
      </c>
      <c r="AR53" s="734"/>
      <c r="AS53" s="734">
        <v>30</v>
      </c>
      <c r="AT53" s="737">
        <f ca="1">IF($AR53&gt;0,$C$5-$AR53,$C$5-'Base Information Sheet'!$B$15)</f>
        <v>2026</v>
      </c>
      <c r="AU53" s="737">
        <f>IF($AR53&gt;0,$AR53+$AS53,'Base Information Sheet'!$B$15+'Physical Condition Assessment'!$AS53)</f>
        <v>30</v>
      </c>
      <c r="AV53" s="738">
        <f ca="1">IF($N53="x",0,IF($AU53&lt;=$C$5,'Physical Condition Assessment'!$AP53,0))</f>
        <v>0</v>
      </c>
      <c r="AW53" s="738">
        <f ca="1">IF(AV53&gt;0,0,IF($N53="x",0,IF(($AU53-6)&lt;$C$5,'Physical Condition Assessment'!$AP53,0)))</f>
        <v>0</v>
      </c>
      <c r="AX53" s="738">
        <f ca="1">IF(SUM(AV53:AW53)&gt;0,0,IF($N53="x",0,IF(($AU53-11)&lt;$C$5,'Physical Condition Assessment'!$AP53,0)))</f>
        <v>0</v>
      </c>
      <c r="AY53" s="738">
        <f ca="1">IF(SUM(AV53:AX53)&gt;0,0,IF($N53="x",0,IF(($AU53-16)&lt;$C$5,'Physical Condition Assessment'!$AP53,0)))</f>
        <v>0</v>
      </c>
    </row>
    <row r="54" spans="1:51" ht="16" thickBot="1" x14ac:dyDescent="0.25">
      <c r="A54" s="755" t="s">
        <v>158</v>
      </c>
      <c r="B54" s="756" t="s">
        <v>159</v>
      </c>
      <c r="C54" s="502" t="s">
        <v>160</v>
      </c>
      <c r="D54" s="502" t="s">
        <v>102</v>
      </c>
      <c r="E54" s="728"/>
      <c r="F54" s="729"/>
      <c r="G54" s="537" t="s">
        <v>41</v>
      </c>
      <c r="H54" s="732"/>
      <c r="I54" s="537" t="s">
        <v>42</v>
      </c>
      <c r="J54" s="732"/>
      <c r="K54" s="537" t="s">
        <v>43</v>
      </c>
      <c r="L54" s="732"/>
      <c r="M54" s="537" t="s">
        <v>44</v>
      </c>
      <c r="N54" s="732"/>
      <c r="O54" s="537" t="s">
        <v>52</v>
      </c>
      <c r="P54" s="2"/>
      <c r="Q54" s="3" t="s">
        <v>52</v>
      </c>
      <c r="R54" s="783"/>
      <c r="S54" s="784">
        <f>'Base Information Sheet'!$B$23*'Physical Condition Assessment'!E54*'PCA Cost Tables - READ ONLY'!P54*'Physical Condition Assessment'!R54*'Base Information Sheet'!$B$38*'Base Information Sheet'!$B$37</f>
        <v>0</v>
      </c>
      <c r="T54" s="786"/>
      <c r="U54" t="s">
        <v>163</v>
      </c>
      <c r="V54" s="502" t="s">
        <v>85</v>
      </c>
      <c r="AE54" s="475" t="s">
        <v>71</v>
      </c>
      <c r="AF54" s="475"/>
      <c r="AG54" s="475" t="s">
        <v>72</v>
      </c>
      <c r="AH54" s="476">
        <f>_xlfn.XLOOKUP($U54,'PCA Cost Tables - READ ONLY'!$E$10:$E$172,'PCA Cost Tables - READ ONLY'!$F$10:$F$172,"BLANK",0)</f>
        <v>6.8109600000000006</v>
      </c>
      <c r="AI54" s="476">
        <f>_xlfn.XLOOKUP($U54,'PCA Cost Tables - READ ONLY'!$E$10:$E$172,'PCA Cost Tables - READ ONLY'!$H$10:$H$172,"BLANK",0)</f>
        <v>12.443100000000001</v>
      </c>
      <c r="AJ54" s="476">
        <f>_xlfn.XLOOKUP($U54,'PCA Cost Tables - READ ONLY'!$E$10:$E$172,'PCA Cost Tables - READ ONLY'!$J$10:$J$172,"BLANK",0)</f>
        <v>23.903849999999998</v>
      </c>
      <c r="AK54" s="476">
        <f>_xlfn.XLOOKUP($U54,'PCA Cost Tables - READ ONLY'!$E$10:$E$172,'PCA Cost Tables - READ ONLY'!$L$10:$L$172,"BLANK",0)</f>
        <v>38.219963999999997</v>
      </c>
      <c r="AL54" s="477" t="str">
        <f>IF($AE54="SF",IF($AF54="X",'Base Information Sheet'!$B$23*'Physical Condition Assessment'!$E54*'Physical Condition Assessment'!$AJ54,"-"))</f>
        <v>-</v>
      </c>
      <c r="AM54" s="477">
        <f>IF($AE54="SF",IF($AG54="X",'Base Information Sheet'!$B$23*'Physical Condition Assessment'!$E54*'Physical Condition Assessment'!$AK54,"-"))</f>
        <v>0</v>
      </c>
      <c r="AN54" s="477" t="b">
        <f>IF($AE54="Unit",IF($AF54="X",'Physical Condition Assessment'!$E54*'Physical Condition Assessment'!$AJ54,"-"))</f>
        <v>0</v>
      </c>
      <c r="AO54" s="477" t="b">
        <f>IF($AE54="Unit",IF($AG54="X",'Physical Condition Assessment'!$E54*'Physical Condition Assessment'!$AK54,"-"))</f>
        <v>0</v>
      </c>
      <c r="AP54" s="477">
        <f t="shared" si="0"/>
        <v>0</v>
      </c>
      <c r="AQ54" s="478" t="e">
        <f t="shared" si="1"/>
        <v>#DIV/0!</v>
      </c>
      <c r="AR54" s="734"/>
      <c r="AS54" s="734">
        <v>30</v>
      </c>
      <c r="AT54" s="737">
        <f ca="1">IF($AR54&gt;0,$C$5-$AR54,$C$5-'Base Information Sheet'!$B$15)</f>
        <v>2026</v>
      </c>
      <c r="AU54" s="737">
        <f>IF($AR54&gt;0,$AR54+$AS54,'Base Information Sheet'!$B$15+'Physical Condition Assessment'!$AS54)</f>
        <v>30</v>
      </c>
      <c r="AV54" s="738">
        <f ca="1">IF($N54="x",0,IF($AU54&lt;=$C$5,'Physical Condition Assessment'!$AP54,0))</f>
        <v>0</v>
      </c>
      <c r="AW54" s="738">
        <f ca="1">IF(AV54&gt;0,0,IF($N54="x",0,IF(($AU54-6)&lt;$C$5,'Physical Condition Assessment'!$AP54,0)))</f>
        <v>0</v>
      </c>
      <c r="AX54" s="738">
        <f ca="1">IF(SUM(AV54:AW54)&gt;0,0,IF($N54="x",0,IF(($AU54-11)&lt;$C$5,'Physical Condition Assessment'!$AP54,0)))</f>
        <v>0</v>
      </c>
      <c r="AY54" s="738">
        <f ca="1">IF(SUM(AV54:AX54)&gt;0,0,IF($N54="x",0,IF(($AU54-16)&lt;$C$5,'Physical Condition Assessment'!$AP54,0)))</f>
        <v>0</v>
      </c>
    </row>
    <row r="55" spans="1:51" ht="16" thickBot="1" x14ac:dyDescent="0.25">
      <c r="A55" s="755" t="s">
        <v>158</v>
      </c>
      <c r="B55" s="756" t="s">
        <v>159</v>
      </c>
      <c r="C55" s="502" t="s">
        <v>160</v>
      </c>
      <c r="D55" s="502" t="s">
        <v>121</v>
      </c>
      <c r="E55" s="728"/>
      <c r="F55" s="729"/>
      <c r="G55" s="537" t="s">
        <v>41</v>
      </c>
      <c r="H55" s="733"/>
      <c r="I55" s="537" t="s">
        <v>42</v>
      </c>
      <c r="J55" s="733"/>
      <c r="K55" s="537" t="s">
        <v>43</v>
      </c>
      <c r="L55" s="733"/>
      <c r="M55" s="537" t="s">
        <v>44</v>
      </c>
      <c r="N55" s="733"/>
      <c r="O55" s="537" t="s">
        <v>52</v>
      </c>
      <c r="P55" s="2"/>
      <c r="Q55" s="3" t="s">
        <v>52</v>
      </c>
      <c r="R55" s="783"/>
      <c r="S55" s="784">
        <f>'Base Information Sheet'!$B$23*'Physical Condition Assessment'!E55*'PCA Cost Tables - READ ONLY'!P55*'Physical Condition Assessment'!R55*'Base Information Sheet'!$B$38*'Base Information Sheet'!$B$37</f>
        <v>0</v>
      </c>
      <c r="T55" s="786"/>
      <c r="U55" t="s">
        <v>164</v>
      </c>
      <c r="V55" s="502" t="s">
        <v>85</v>
      </c>
      <c r="AE55" s="475" t="s">
        <v>71</v>
      </c>
      <c r="AF55" s="475"/>
      <c r="AG55" s="475" t="s">
        <v>72</v>
      </c>
      <c r="AH55" s="476">
        <f>_xlfn.XLOOKUP($U55,'PCA Cost Tables - READ ONLY'!$E$10:$E$172,'PCA Cost Tables - READ ONLY'!$F$10:$F$172,"BLANK",0)</f>
        <v>3.843</v>
      </c>
      <c r="AI55" s="476">
        <f>_xlfn.XLOOKUP($U55,'PCA Cost Tables - READ ONLY'!$E$10:$E$172,'PCA Cost Tables - READ ONLY'!$H$10:$H$172,"BLANK",0)</f>
        <v>15.372</v>
      </c>
      <c r="AJ55" s="476">
        <f>_xlfn.XLOOKUP($U55,'PCA Cost Tables - READ ONLY'!$E$10:$E$172,'PCA Cost Tables - READ ONLY'!$J$10:$J$172,"BLANK",0)</f>
        <v>76.86</v>
      </c>
      <c r="AK55" s="476">
        <f>_xlfn.XLOOKUP($U55,'PCA Cost Tables - READ ONLY'!$E$10:$E$172,'PCA Cost Tables - READ ONLY'!$L$10:$L$172,"BLANK",0)</f>
        <v>384.3</v>
      </c>
      <c r="AL55" s="477" t="str">
        <f>IF($AE55="SF",IF($AF55="X",'Base Information Sheet'!$B$23*'Physical Condition Assessment'!$E55*'Physical Condition Assessment'!$AJ55,"-"))</f>
        <v>-</v>
      </c>
      <c r="AM55" s="477">
        <f>IF($AE55="SF",IF($AG55="X",'Base Information Sheet'!$B$23*'Physical Condition Assessment'!$E55*'Physical Condition Assessment'!$AK55,"-"))</f>
        <v>0</v>
      </c>
      <c r="AN55" s="477" t="b">
        <f>IF($AE55="Unit",IF($AF55="X",'Physical Condition Assessment'!$E55*'Physical Condition Assessment'!$AJ55,"-"))</f>
        <v>0</v>
      </c>
      <c r="AO55" s="477" t="b">
        <f>IF($AE55="Unit",IF($AG55="X",'Physical Condition Assessment'!$E55*'Physical Condition Assessment'!$AK55,"-"))</f>
        <v>0</v>
      </c>
      <c r="AP55" s="477">
        <f t="shared" si="0"/>
        <v>0</v>
      </c>
      <c r="AQ55" s="478" t="e">
        <f t="shared" si="1"/>
        <v>#DIV/0!</v>
      </c>
      <c r="AR55" s="734"/>
      <c r="AS55" s="734">
        <v>30</v>
      </c>
      <c r="AT55" s="737">
        <f ca="1">IF($AR55&gt;0,$C$5-$AR55,$C$5-'Base Information Sheet'!$B$15)</f>
        <v>2026</v>
      </c>
      <c r="AU55" s="737">
        <f>IF($AR55&gt;0,$AR55+$AS55,'Base Information Sheet'!$B$15+'Physical Condition Assessment'!$AS55)</f>
        <v>30</v>
      </c>
      <c r="AV55" s="738">
        <f ca="1">IF($N55="x",0,IF($AU55&lt;=$C$5,'Physical Condition Assessment'!$AP55,0))</f>
        <v>0</v>
      </c>
      <c r="AW55" s="738">
        <f ca="1">IF(AV55&gt;0,0,IF($N55="x",0,IF(($AU55-6)&lt;$C$5,'Physical Condition Assessment'!$AP55,0)))</f>
        <v>0</v>
      </c>
      <c r="AX55" s="738">
        <f ca="1">IF(SUM(AV55:AW55)&gt;0,0,IF($N55="x",0,IF(($AU55-11)&lt;$C$5,'Physical Condition Assessment'!$AP55,0)))</f>
        <v>0</v>
      </c>
      <c r="AY55" s="738">
        <f ca="1">IF(SUM(AV55:AX55)&gt;0,0,IF($N55="x",0,IF(($AU55-16)&lt;$C$5,'Physical Condition Assessment'!$AP55,0)))</f>
        <v>0</v>
      </c>
    </row>
    <row r="56" spans="1:51" ht="16" thickBot="1" x14ac:dyDescent="0.25">
      <c r="A56" s="755" t="s">
        <v>158</v>
      </c>
      <c r="B56" s="756" t="s">
        <v>159</v>
      </c>
      <c r="C56" s="502" t="s">
        <v>165</v>
      </c>
      <c r="D56" s="502" t="s">
        <v>83</v>
      </c>
      <c r="E56" s="731"/>
      <c r="F56" s="729"/>
      <c r="G56" s="537" t="s">
        <v>41</v>
      </c>
      <c r="H56" s="732"/>
      <c r="I56" s="537" t="s">
        <v>42</v>
      </c>
      <c r="J56" s="732"/>
      <c r="K56" s="537" t="s">
        <v>43</v>
      </c>
      <c r="L56" s="732"/>
      <c r="M56" s="537" t="s">
        <v>44</v>
      </c>
      <c r="N56" s="732"/>
      <c r="O56" s="537" t="s">
        <v>52</v>
      </c>
      <c r="P56" s="2"/>
      <c r="Q56" s="3"/>
      <c r="R56" s="783"/>
      <c r="S56" s="784">
        <f>'Physical Condition Assessment'!E56*'PCA Cost Tables - READ ONLY'!P56*'Physical Condition Assessment'!R56*'Base Information Sheet'!$B$38*'Base Information Sheet'!$B$37</f>
        <v>0</v>
      </c>
      <c r="T56" s="786"/>
      <c r="U56" t="s">
        <v>166</v>
      </c>
      <c r="V56" s="502" t="s">
        <v>125</v>
      </c>
      <c r="AE56" s="475" t="s">
        <v>51</v>
      </c>
      <c r="AF56" s="475"/>
      <c r="AG56" s="475" t="s">
        <v>72</v>
      </c>
      <c r="AH56" s="476">
        <f>_xlfn.XLOOKUP($U56,'PCA Cost Tables - READ ONLY'!$E$10:$E$172,'PCA Cost Tables - READ ONLY'!$F$10:$F$172,"BLANK",0)</f>
        <v>446.875</v>
      </c>
      <c r="AI56" s="476">
        <f>_xlfn.XLOOKUP($U56,'PCA Cost Tables - READ ONLY'!$E$10:$E$172,'PCA Cost Tables - READ ONLY'!$H$10:$H$172,"BLANK",0)</f>
        <v>1430</v>
      </c>
      <c r="AJ56" s="476">
        <f>_xlfn.XLOOKUP($U56,'PCA Cost Tables - READ ONLY'!$E$10:$E$172,'PCA Cost Tables - READ ONLY'!$J$10:$J$172,"BLANK",0)</f>
        <v>2323.75</v>
      </c>
      <c r="AK56" s="476">
        <f>_xlfn.XLOOKUP($U56,'PCA Cost Tables - READ ONLY'!$E$10:$E$172,'PCA Cost Tables - READ ONLY'!$L$10:$L$172,"BLANK",0)</f>
        <v>3217.5</v>
      </c>
      <c r="AL56" s="477" t="b">
        <f>IF($AE56="SF",IF($AF56="X",'Base Information Sheet'!$B$23*'Physical Condition Assessment'!$E56*'Physical Condition Assessment'!$AJ56,"-"))</f>
        <v>0</v>
      </c>
      <c r="AM56" s="477" t="b">
        <f>IF($AE56="SF",IF($AG56="X",'Base Information Sheet'!$B$23*'Physical Condition Assessment'!$E56*'Physical Condition Assessment'!$AK56,"-"))</f>
        <v>0</v>
      </c>
      <c r="AN56" s="477" t="str">
        <f>IF($AE56="Unit",IF($AF56="X",'Physical Condition Assessment'!$E56*'Physical Condition Assessment'!$AJ56,"-"))</f>
        <v>-</v>
      </c>
      <c r="AO56" s="477">
        <f>IF($AE56="Unit",IF($AG56="X",'Physical Condition Assessment'!$E56*'Physical Condition Assessment'!$AK56,"-"))</f>
        <v>0</v>
      </c>
      <c r="AP56" s="477">
        <f t="shared" si="0"/>
        <v>0</v>
      </c>
      <c r="AQ56" s="478" t="e">
        <f t="shared" si="1"/>
        <v>#DIV/0!</v>
      </c>
      <c r="AR56" s="734"/>
      <c r="AS56" s="734">
        <v>50</v>
      </c>
      <c r="AT56" s="737">
        <f ca="1">IF($AR56&gt;0,$C$5-$AR56,$C$5-'Base Information Sheet'!$B$15)</f>
        <v>2026</v>
      </c>
      <c r="AU56" s="737">
        <f>IF($AR56&gt;0,$AR56+$AS56,'Base Information Sheet'!$B$15+'Physical Condition Assessment'!$AS56)</f>
        <v>50</v>
      </c>
      <c r="AV56" s="738">
        <f ca="1">IF($N56="x",0,IF($AU56&lt;=$C$5,'Physical Condition Assessment'!$AP56,0))</f>
        <v>0</v>
      </c>
      <c r="AW56" s="738">
        <f ca="1">IF(AV56&gt;0,0,IF($N56="x",0,IF(($AU56-6)&lt;$C$5,'Physical Condition Assessment'!$AP56,0)))</f>
        <v>0</v>
      </c>
      <c r="AX56" s="738">
        <f ca="1">IF(SUM(AV56:AW56)&gt;0,0,IF($N56="x",0,IF(($AU56-11)&lt;$C$5,'Physical Condition Assessment'!$AP56,0)))</f>
        <v>0</v>
      </c>
      <c r="AY56" s="738">
        <f ca="1">IF(SUM(AV56:AX56)&gt;0,0,IF($N56="x",0,IF(($AU56-16)&lt;$C$5,'Physical Condition Assessment'!$AP56,0)))</f>
        <v>0</v>
      </c>
    </row>
    <row r="57" spans="1:51" ht="16" thickBot="1" x14ac:dyDescent="0.25">
      <c r="A57" s="755" t="s">
        <v>158</v>
      </c>
      <c r="B57" s="756" t="s">
        <v>159</v>
      </c>
      <c r="C57" s="502" t="s">
        <v>165</v>
      </c>
      <c r="D57" s="502" t="s">
        <v>127</v>
      </c>
      <c r="E57" s="731"/>
      <c r="F57" s="729"/>
      <c r="G57" s="537" t="s">
        <v>41</v>
      </c>
      <c r="H57" s="732"/>
      <c r="I57" s="537" t="s">
        <v>42</v>
      </c>
      <c r="J57" s="732"/>
      <c r="K57" s="537" t="s">
        <v>43</v>
      </c>
      <c r="L57" s="732"/>
      <c r="M57" s="537" t="s">
        <v>44</v>
      </c>
      <c r="N57" s="732"/>
      <c r="O57" s="537" t="s">
        <v>52</v>
      </c>
      <c r="P57" s="2"/>
      <c r="Q57" s="3" t="s">
        <v>52</v>
      </c>
      <c r="R57" s="783"/>
      <c r="S57" s="784">
        <f>'Physical Condition Assessment'!E57*'PCA Cost Tables - READ ONLY'!P57*'Physical Condition Assessment'!R57*'Base Information Sheet'!$B$38*'Base Information Sheet'!$B$37</f>
        <v>0</v>
      </c>
      <c r="T57" s="786"/>
      <c r="U57" t="s">
        <v>167</v>
      </c>
      <c r="V57" s="502" t="s">
        <v>125</v>
      </c>
      <c r="AE57" s="475" t="s">
        <v>51</v>
      </c>
      <c r="AF57" s="475"/>
      <c r="AG57" s="475" t="s">
        <v>72</v>
      </c>
      <c r="AH57" s="476">
        <f>_xlfn.XLOOKUP($U57,'PCA Cost Tables - READ ONLY'!$E$10:$E$172,'PCA Cost Tables - READ ONLY'!$F$10:$F$172,"BLANK",0)</f>
        <v>446.875</v>
      </c>
      <c r="AI57" s="476">
        <f>_xlfn.XLOOKUP($U57,'PCA Cost Tables - READ ONLY'!$E$10:$E$172,'PCA Cost Tables - READ ONLY'!$H$10:$H$172,"BLANK",0)</f>
        <v>1430</v>
      </c>
      <c r="AJ57" s="476">
        <f>_xlfn.XLOOKUP($U57,'PCA Cost Tables - READ ONLY'!$E$10:$E$172,'PCA Cost Tables - READ ONLY'!$J$10:$J$172,"BLANK",0)</f>
        <v>1966.25</v>
      </c>
      <c r="AK57" s="476">
        <f>_xlfn.XLOOKUP($U57,'PCA Cost Tables - READ ONLY'!$E$10:$E$172,'PCA Cost Tables - READ ONLY'!$L$10:$L$172,"BLANK",0)</f>
        <v>2860</v>
      </c>
      <c r="AL57" s="477" t="b">
        <f>IF($AE57="SF",IF($AF57="X",'Base Information Sheet'!$B$23*'Physical Condition Assessment'!$E57*'Physical Condition Assessment'!$AJ57,"-"))</f>
        <v>0</v>
      </c>
      <c r="AM57" s="477" t="b">
        <f>IF($AE57="SF",IF($AG57="X",'Base Information Sheet'!$B$23*'Physical Condition Assessment'!$E57*'Physical Condition Assessment'!$AK57,"-"))</f>
        <v>0</v>
      </c>
      <c r="AN57" s="477" t="str">
        <f>IF($AE57="Unit",IF($AF57="X",'Physical Condition Assessment'!$E57*'Physical Condition Assessment'!$AJ57,"-"))</f>
        <v>-</v>
      </c>
      <c r="AO57" s="477">
        <f>IF($AE57="Unit",IF($AG57="X",'Physical Condition Assessment'!$E57*'Physical Condition Assessment'!$AK57,"-"))</f>
        <v>0</v>
      </c>
      <c r="AP57" s="477">
        <f t="shared" si="0"/>
        <v>0</v>
      </c>
      <c r="AQ57" s="478" t="e">
        <f t="shared" si="1"/>
        <v>#DIV/0!</v>
      </c>
      <c r="AR57" s="734"/>
      <c r="AS57" s="734">
        <v>50</v>
      </c>
      <c r="AT57" s="737">
        <f ca="1">IF($AR57&gt;0,$C$5-$AR57,$C$5-'Base Information Sheet'!$B$15)</f>
        <v>2026</v>
      </c>
      <c r="AU57" s="737">
        <f>IF($AR57&gt;0,$AR57+$AS57,'Base Information Sheet'!$B$15+'Physical Condition Assessment'!$AS57)</f>
        <v>50</v>
      </c>
      <c r="AV57" s="738">
        <f ca="1">IF($N57="x",0,IF($AU57&lt;=$C$5,'Physical Condition Assessment'!$AP57,0))</f>
        <v>0</v>
      </c>
      <c r="AW57" s="738">
        <f ca="1">IF(AV57&gt;0,0,IF($N57="x",0,IF(($AU57-6)&lt;$C$5,'Physical Condition Assessment'!$AP57,0)))</f>
        <v>0</v>
      </c>
      <c r="AX57" s="738">
        <f ca="1">IF(SUM(AV57:AW57)&gt;0,0,IF($N57="x",0,IF(($AU57-11)&lt;$C$5,'Physical Condition Assessment'!$AP57,0)))</f>
        <v>0</v>
      </c>
      <c r="AY57" s="738">
        <f ca="1">IF(SUM(AV57:AX57)&gt;0,0,IF($N57="x",0,IF(($AU57-16)&lt;$C$5,'Physical Condition Assessment'!$AP57,0)))</f>
        <v>0</v>
      </c>
    </row>
    <row r="58" spans="1:51" ht="16" thickBot="1" x14ac:dyDescent="0.25">
      <c r="A58" s="755" t="s">
        <v>158</v>
      </c>
      <c r="B58" s="756" t="s">
        <v>159</v>
      </c>
      <c r="C58" s="502" t="s">
        <v>165</v>
      </c>
      <c r="D58" s="502" t="s">
        <v>129</v>
      </c>
      <c r="E58" s="730"/>
      <c r="F58" s="729"/>
      <c r="G58" s="537" t="s">
        <v>41</v>
      </c>
      <c r="H58" s="732"/>
      <c r="I58" s="537" t="s">
        <v>42</v>
      </c>
      <c r="J58" s="732"/>
      <c r="K58" s="537" t="s">
        <v>43</v>
      </c>
      <c r="L58" s="732"/>
      <c r="M58" s="537" t="s">
        <v>44</v>
      </c>
      <c r="N58" s="732"/>
      <c r="O58" s="537" t="s">
        <v>52</v>
      </c>
      <c r="P58" s="5"/>
      <c r="Q58" s="3" t="s">
        <v>52</v>
      </c>
      <c r="R58" s="783"/>
      <c r="S58" s="784">
        <f>'Physical Condition Assessment'!E58*'PCA Cost Tables - READ ONLY'!P58*'Physical Condition Assessment'!R58*'Base Information Sheet'!$B$38*'Base Information Sheet'!$B$37</f>
        <v>0</v>
      </c>
      <c r="T58" s="786"/>
      <c r="U58" t="s">
        <v>168</v>
      </c>
      <c r="V58" s="502" t="s">
        <v>125</v>
      </c>
      <c r="AE58" s="475" t="s">
        <v>51</v>
      </c>
      <c r="AF58" s="475"/>
      <c r="AG58" s="475" t="s">
        <v>72</v>
      </c>
      <c r="AH58" s="476">
        <f>_xlfn.XLOOKUP($U58,'PCA Cost Tables - READ ONLY'!$E$10:$E$172,'PCA Cost Tables - READ ONLY'!$F$10:$F$172,"BLANK",0)</f>
        <v>450.45</v>
      </c>
      <c r="AI58" s="476">
        <f>_xlfn.XLOOKUP($U58,'PCA Cost Tables - READ ONLY'!$E$10:$E$172,'PCA Cost Tables - READ ONLY'!$H$10:$H$172,"BLANK",0)</f>
        <v>2162.16</v>
      </c>
      <c r="AJ58" s="476">
        <f>_xlfn.XLOOKUP($U58,'PCA Cost Tables - READ ONLY'!$E$10:$E$172,'PCA Cost Tables - READ ONLY'!$J$10:$J$172,"BLANK",0)</f>
        <v>4324.32</v>
      </c>
      <c r="AK58" s="476">
        <f>_xlfn.XLOOKUP($U58,'PCA Cost Tables - READ ONLY'!$E$10:$E$172,'PCA Cost Tables - READ ONLY'!$L$10:$L$172,"BLANK",0)</f>
        <v>5405.4</v>
      </c>
      <c r="AL58" s="477" t="b">
        <f>IF($AE58="SF",IF($AF58="X",'Base Information Sheet'!$B$23*'Physical Condition Assessment'!$E58*'Physical Condition Assessment'!$AJ58,"-"))</f>
        <v>0</v>
      </c>
      <c r="AM58" s="477" t="b">
        <f>IF($AE58="SF",IF($AG58="X",'Base Information Sheet'!$B$23*'Physical Condition Assessment'!$E58*'Physical Condition Assessment'!$AK58,"-"))</f>
        <v>0</v>
      </c>
      <c r="AN58" s="477" t="str">
        <f>IF($AE58="Unit",IF($AF58="X",'Physical Condition Assessment'!$E58*'Physical Condition Assessment'!$AJ58,"-"))</f>
        <v>-</v>
      </c>
      <c r="AO58" s="477">
        <f>IF($AE58="Unit",IF($AG58="X",'Physical Condition Assessment'!$E58*'Physical Condition Assessment'!$AK58,"-"))</f>
        <v>0</v>
      </c>
      <c r="AP58" s="477">
        <f t="shared" si="0"/>
        <v>0</v>
      </c>
      <c r="AQ58" s="478" t="e">
        <f t="shared" si="1"/>
        <v>#DIV/0!</v>
      </c>
      <c r="AR58" s="734"/>
      <c r="AS58" s="734">
        <v>50</v>
      </c>
      <c r="AT58" s="737">
        <f ca="1">IF($AR58&gt;0,$C$5-$AR58,$C$5-'Base Information Sheet'!$B$15)</f>
        <v>2026</v>
      </c>
      <c r="AU58" s="737">
        <f>IF($AR58&gt;0,$AR58+$AS58,'Base Information Sheet'!$B$15+'Physical Condition Assessment'!$AS58)</f>
        <v>50</v>
      </c>
      <c r="AV58" s="738">
        <f ca="1">IF($N58="x",0,IF($AU58&lt;=$C$5,'Physical Condition Assessment'!$AP58,0))</f>
        <v>0</v>
      </c>
      <c r="AW58" s="738">
        <f ca="1">IF(AV58&gt;0,0,IF($N58="x",0,IF(($AU58-6)&lt;$C$5,'Physical Condition Assessment'!$AP58,0)))</f>
        <v>0</v>
      </c>
      <c r="AX58" s="738">
        <f ca="1">IF(SUM(AV58:AW58)&gt;0,0,IF($N58="x",0,IF(($AU58-11)&lt;$C$5,'Physical Condition Assessment'!$AP58,0)))</f>
        <v>0</v>
      </c>
      <c r="AY58" s="738">
        <f ca="1">IF(SUM(AV58:AX58)&gt;0,0,IF($N58="x",0,IF(($AU58-16)&lt;$C$5,'Physical Condition Assessment'!$AP58,0)))</f>
        <v>0</v>
      </c>
    </row>
    <row r="59" spans="1:51" ht="16" thickBot="1" x14ac:dyDescent="0.25">
      <c r="A59" s="755" t="s">
        <v>158</v>
      </c>
      <c r="B59" s="756" t="s">
        <v>159</v>
      </c>
      <c r="C59" s="502" t="s">
        <v>165</v>
      </c>
      <c r="D59" s="502" t="s">
        <v>131</v>
      </c>
      <c r="E59" s="730"/>
      <c r="F59" s="729"/>
      <c r="G59" s="537" t="s">
        <v>41</v>
      </c>
      <c r="H59" s="732"/>
      <c r="I59" s="537" t="s">
        <v>42</v>
      </c>
      <c r="J59" s="732"/>
      <c r="K59" s="537" t="s">
        <v>43</v>
      </c>
      <c r="L59" s="732"/>
      <c r="M59" s="537" t="s">
        <v>44</v>
      </c>
      <c r="N59" s="732"/>
      <c r="O59" s="537" t="s">
        <v>52</v>
      </c>
      <c r="P59" s="1"/>
      <c r="Q59" s="3"/>
      <c r="R59" s="783"/>
      <c r="S59" s="784">
        <f>'Physical Condition Assessment'!E59*'PCA Cost Tables - READ ONLY'!P59*'Physical Condition Assessment'!R59*'Base Information Sheet'!$B$38*'Base Information Sheet'!$B$37</f>
        <v>0</v>
      </c>
      <c r="T59" s="786"/>
      <c r="U59" t="s">
        <v>169</v>
      </c>
      <c r="V59" s="502" t="s">
        <v>125</v>
      </c>
      <c r="AE59" s="475" t="s">
        <v>51</v>
      </c>
      <c r="AF59" s="475"/>
      <c r="AG59" s="475" t="s">
        <v>72</v>
      </c>
      <c r="AH59" s="476">
        <f>_xlfn.XLOOKUP($U59,'PCA Cost Tables - READ ONLY'!$E$10:$E$172,'PCA Cost Tables - READ ONLY'!$F$10:$F$172,"BLANK",0)</f>
        <v>268.125</v>
      </c>
      <c r="AI59" s="476">
        <f>_xlfn.XLOOKUP($U59,'PCA Cost Tables - READ ONLY'!$E$10:$E$172,'PCA Cost Tables - READ ONLY'!$H$10:$H$172,"BLANK",0)</f>
        <v>536.25</v>
      </c>
      <c r="AJ59" s="476">
        <f>_xlfn.XLOOKUP($U59,'PCA Cost Tables - READ ONLY'!$E$10:$E$172,'PCA Cost Tables - READ ONLY'!$J$10:$J$172,"BLANK",0)</f>
        <v>1072.5</v>
      </c>
      <c r="AK59" s="476">
        <f>_xlfn.XLOOKUP($U59,'PCA Cost Tables - READ ONLY'!$E$10:$E$172,'PCA Cost Tables - READ ONLY'!$L$10:$L$172,"BLANK",0)</f>
        <v>2681.25</v>
      </c>
      <c r="AL59" s="477" t="b">
        <f>IF($AE59="SF",IF($AF59="X",'Base Information Sheet'!$B$23*'Physical Condition Assessment'!$E59*'Physical Condition Assessment'!$AJ59,"-"))</f>
        <v>0</v>
      </c>
      <c r="AM59" s="477" t="b">
        <f>IF($AE59="SF",IF($AG59="X",'Base Information Sheet'!$B$23*'Physical Condition Assessment'!$E59*'Physical Condition Assessment'!$AK59,"-"))</f>
        <v>0</v>
      </c>
      <c r="AN59" s="477" t="str">
        <f>IF($AE59="Unit",IF($AF59="X",'Physical Condition Assessment'!$E59*'Physical Condition Assessment'!$AJ59,"-"))</f>
        <v>-</v>
      </c>
      <c r="AO59" s="477">
        <f>IF($AE59="Unit",IF($AG59="X",'Physical Condition Assessment'!$E59*'Physical Condition Assessment'!$AK59,"-"))</f>
        <v>0</v>
      </c>
      <c r="AP59" s="477">
        <f t="shared" si="0"/>
        <v>0</v>
      </c>
      <c r="AQ59" s="478" t="e">
        <f t="shared" si="1"/>
        <v>#DIV/0!</v>
      </c>
      <c r="AR59" s="734"/>
      <c r="AS59" s="734">
        <v>50</v>
      </c>
      <c r="AT59" s="737">
        <f ca="1">IF($AR59&gt;0,$C$5-$AR59,$C$5-'Base Information Sheet'!$B$15)</f>
        <v>2026</v>
      </c>
      <c r="AU59" s="737">
        <f>IF($AR59&gt;0,$AR59+$AS59,'Base Information Sheet'!$B$15+'Physical Condition Assessment'!$AS59)</f>
        <v>50</v>
      </c>
      <c r="AV59" s="738">
        <f ca="1">IF($N59="x",0,IF($AU59&lt;=$C$5,'Physical Condition Assessment'!$AP59,0))</f>
        <v>0</v>
      </c>
      <c r="AW59" s="738">
        <f ca="1">IF(AV59&gt;0,0,IF($N59="x",0,IF(($AU59-6)&lt;$C$5,'Physical Condition Assessment'!$AP59,0)))</f>
        <v>0</v>
      </c>
      <c r="AX59" s="738">
        <f ca="1">IF(SUM(AV59:AW59)&gt;0,0,IF($N59="x",0,IF(($AU59-11)&lt;$C$5,'Physical Condition Assessment'!$AP59,0)))</f>
        <v>0</v>
      </c>
      <c r="AY59" s="738">
        <f ca="1">IF(SUM(AV59:AX59)&gt;0,0,IF($N59="x",0,IF(($AU59-16)&lt;$C$5,'Physical Condition Assessment'!$AP59,0)))</f>
        <v>0</v>
      </c>
    </row>
    <row r="60" spans="1:51" ht="16" thickBot="1" x14ac:dyDescent="0.25">
      <c r="A60" s="755" t="s">
        <v>158</v>
      </c>
      <c r="B60" s="756" t="s">
        <v>159</v>
      </c>
      <c r="C60" s="502" t="s">
        <v>165</v>
      </c>
      <c r="D60" s="502" t="s">
        <v>133</v>
      </c>
      <c r="E60" s="730"/>
      <c r="F60" s="729"/>
      <c r="G60" s="537" t="s">
        <v>41</v>
      </c>
      <c r="H60" s="732"/>
      <c r="I60" s="537" t="s">
        <v>42</v>
      </c>
      <c r="J60" s="732"/>
      <c r="K60" s="537" t="s">
        <v>43</v>
      </c>
      <c r="L60" s="732"/>
      <c r="M60" s="537" t="s">
        <v>44</v>
      </c>
      <c r="N60" s="732"/>
      <c r="O60" s="537" t="s">
        <v>52</v>
      </c>
      <c r="P60" s="1"/>
      <c r="Q60" s="3"/>
      <c r="R60" s="783"/>
      <c r="S60" s="784">
        <f>'Physical Condition Assessment'!E60*'PCA Cost Tables - READ ONLY'!P60*'Physical Condition Assessment'!R60*'Base Information Sheet'!$B$38*'Base Information Sheet'!$B$37</f>
        <v>0</v>
      </c>
      <c r="T60" s="786"/>
      <c r="U60" t="s">
        <v>170</v>
      </c>
      <c r="V60" s="502" t="s">
        <v>125</v>
      </c>
      <c r="AE60" s="475" t="s">
        <v>51</v>
      </c>
      <c r="AF60" s="475"/>
      <c r="AG60" s="475" t="s">
        <v>72</v>
      </c>
      <c r="AH60" s="476">
        <f>_xlfn.XLOOKUP($U60,'PCA Cost Tables - READ ONLY'!$E$10:$E$172,'PCA Cost Tables - READ ONLY'!$F$10:$F$172,"BLANK",0)</f>
        <v>178.75</v>
      </c>
      <c r="AI60" s="476">
        <f>_xlfn.XLOOKUP($U60,'PCA Cost Tables - READ ONLY'!$E$10:$E$172,'PCA Cost Tables - READ ONLY'!$H$10:$H$172,"BLANK",0)</f>
        <v>446.875</v>
      </c>
      <c r="AJ60" s="476">
        <f>_xlfn.XLOOKUP($U60,'PCA Cost Tables - READ ONLY'!$E$10:$E$172,'PCA Cost Tables - READ ONLY'!$J$10:$J$172,"BLANK",0)</f>
        <v>893.75</v>
      </c>
      <c r="AK60" s="476">
        <f>_xlfn.XLOOKUP($U60,'PCA Cost Tables - READ ONLY'!$E$10:$E$172,'PCA Cost Tables - READ ONLY'!$L$10:$L$172,"BLANK",0)</f>
        <v>1787.5</v>
      </c>
      <c r="AL60" s="477" t="b">
        <f>IF($AE60="SF",IF($AF60="X",'Base Information Sheet'!$B$23*'Physical Condition Assessment'!$E60*'Physical Condition Assessment'!$AJ60,"-"))</f>
        <v>0</v>
      </c>
      <c r="AM60" s="477" t="b">
        <f>IF($AE60="SF",IF($AG60="X",'Base Information Sheet'!$B$23*'Physical Condition Assessment'!$E60*'Physical Condition Assessment'!$AK60,"-"))</f>
        <v>0</v>
      </c>
      <c r="AN60" s="477" t="str">
        <f>IF($AE60="Unit",IF($AF60="X",'Physical Condition Assessment'!$E60*'Physical Condition Assessment'!$AJ60,"-"))</f>
        <v>-</v>
      </c>
      <c r="AO60" s="477">
        <f>IF($AE60="Unit",IF($AG60="X",'Physical Condition Assessment'!$E60*'Physical Condition Assessment'!$AK60,"-"))</f>
        <v>0</v>
      </c>
      <c r="AP60" s="477">
        <f t="shared" si="0"/>
        <v>0</v>
      </c>
      <c r="AQ60" s="478" t="e">
        <f t="shared" si="1"/>
        <v>#DIV/0!</v>
      </c>
      <c r="AR60" s="734"/>
      <c r="AS60" s="734">
        <v>50</v>
      </c>
      <c r="AT60" s="737">
        <f ca="1">IF($AR60&gt;0,$C$5-$AR60,$C$5-'Base Information Sheet'!$B$15)</f>
        <v>2026</v>
      </c>
      <c r="AU60" s="737">
        <f>IF($AR60&gt;0,$AR60+$AS60,'Base Information Sheet'!$B$15+'Physical Condition Assessment'!$AS60)</f>
        <v>50</v>
      </c>
      <c r="AV60" s="738">
        <f ca="1">IF($N60="x",0,IF($AU60&lt;=$C$5,'Physical Condition Assessment'!$AP60,0))</f>
        <v>0</v>
      </c>
      <c r="AW60" s="738">
        <f ca="1">IF(AV60&gt;0,0,IF($N60="x",0,IF(($AU60-6)&lt;$C$5,'Physical Condition Assessment'!$AP60,0)))</f>
        <v>0</v>
      </c>
      <c r="AX60" s="738">
        <f ca="1">IF(SUM(AV60:AW60)&gt;0,0,IF($N60="x",0,IF(($AU60-11)&lt;$C$5,'Physical Condition Assessment'!$AP60,0)))</f>
        <v>0</v>
      </c>
      <c r="AY60" s="738">
        <f ca="1">IF(SUM(AV60:AX60)&gt;0,0,IF($N60="x",0,IF(($AU60-16)&lt;$C$5,'Physical Condition Assessment'!$AP60,0)))</f>
        <v>0</v>
      </c>
    </row>
    <row r="61" spans="1:51" ht="16" thickBot="1" x14ac:dyDescent="0.25">
      <c r="A61" s="755" t="s">
        <v>158</v>
      </c>
      <c r="B61" s="756" t="s">
        <v>159</v>
      </c>
      <c r="C61" s="502" t="s">
        <v>171</v>
      </c>
      <c r="D61" s="537" t="s">
        <v>83</v>
      </c>
      <c r="E61" s="730"/>
      <c r="F61" s="729"/>
      <c r="G61" s="537" t="s">
        <v>41</v>
      </c>
      <c r="H61" s="732"/>
      <c r="I61" s="537" t="s">
        <v>42</v>
      </c>
      <c r="J61" s="732"/>
      <c r="K61" s="537" t="s">
        <v>43</v>
      </c>
      <c r="L61" s="732"/>
      <c r="M61" s="537" t="s">
        <v>44</v>
      </c>
      <c r="N61" s="732"/>
      <c r="O61" s="537" t="s">
        <v>52</v>
      </c>
      <c r="P61" s="1"/>
      <c r="Q61" s="3"/>
      <c r="R61" s="783"/>
      <c r="S61" s="784">
        <f>'Physical Condition Assessment'!E61*'PCA Cost Tables - READ ONLY'!P61*'Physical Condition Assessment'!R61*'Base Information Sheet'!$B$38*'Base Information Sheet'!$B$37</f>
        <v>0</v>
      </c>
      <c r="T61" s="786"/>
      <c r="U61" t="s">
        <v>172</v>
      </c>
      <c r="V61" s="502" t="s">
        <v>114</v>
      </c>
      <c r="W61" s="846" t="s">
        <v>2030</v>
      </c>
      <c r="X61" s="847"/>
      <c r="Y61" s="848"/>
      <c r="AE61" s="475" t="s">
        <v>51</v>
      </c>
      <c r="AF61" s="475"/>
      <c r="AG61" s="475" t="s">
        <v>72</v>
      </c>
      <c r="AH61" s="476">
        <f>_xlfn.XLOOKUP($U61,'PCA Cost Tables - READ ONLY'!$E$10:$E$172,'PCA Cost Tables - READ ONLY'!$F$10:$F$172,"BLANK",0)</f>
        <v>89.375</v>
      </c>
      <c r="AI61" s="476">
        <f>_xlfn.XLOOKUP($U61,'PCA Cost Tables - READ ONLY'!$E$10:$E$172,'PCA Cost Tables - READ ONLY'!$H$10:$H$172,"BLANK",0)</f>
        <v>357.5</v>
      </c>
      <c r="AJ61" s="476">
        <f>_xlfn.XLOOKUP($U61,'PCA Cost Tables - READ ONLY'!$E$10:$E$172,'PCA Cost Tables - READ ONLY'!$J$10:$J$172,"BLANK",0)</f>
        <v>893.75</v>
      </c>
      <c r="AK61" s="476">
        <f>_xlfn.XLOOKUP($U61,'PCA Cost Tables - READ ONLY'!$E$10:$E$172,'PCA Cost Tables - READ ONLY'!$L$10:$L$172,"BLANK",0)</f>
        <v>1787.5</v>
      </c>
      <c r="AL61" s="477" t="b">
        <f>IF($AE61="SF",IF($AF61="X",'Base Information Sheet'!$B$23*'Physical Condition Assessment'!$E61*'Physical Condition Assessment'!$AJ61,"-"))</f>
        <v>0</v>
      </c>
      <c r="AM61" s="477" t="b">
        <f>IF($AE61="SF",IF($AG61="X",'Base Information Sheet'!$B$23*'Physical Condition Assessment'!$E61*'Physical Condition Assessment'!$AK61,"-"))</f>
        <v>0</v>
      </c>
      <c r="AN61" s="477" t="str">
        <f>IF($AE61="Unit",IF($AF61="X",'Physical Condition Assessment'!$E61*'Physical Condition Assessment'!$AJ61,"-"))</f>
        <v>-</v>
      </c>
      <c r="AO61" s="477">
        <f>IF($AE61="Unit",IF($AG61="X",'Physical Condition Assessment'!$E61*'Physical Condition Assessment'!$AK61,"-"))</f>
        <v>0</v>
      </c>
      <c r="AP61" s="477">
        <f t="shared" si="0"/>
        <v>0</v>
      </c>
      <c r="AQ61" s="478" t="e">
        <f t="shared" si="1"/>
        <v>#DIV/0!</v>
      </c>
      <c r="AR61" s="734"/>
      <c r="AS61" s="734">
        <v>20</v>
      </c>
      <c r="AT61" s="737">
        <f ca="1">IF($AR61&gt;0,$C$5-$AR61,$C$5-'Base Information Sheet'!$B$15)</f>
        <v>2026</v>
      </c>
      <c r="AU61" s="737">
        <f>IF($AR61&gt;0,$AR61+$AS61,'Base Information Sheet'!$B$15+'Physical Condition Assessment'!$AS61)</f>
        <v>20</v>
      </c>
      <c r="AV61" s="738">
        <f ca="1">IF($N61="x",0,IF($AU61&lt;=$C$5,'Physical Condition Assessment'!$AP61,0))</f>
        <v>0</v>
      </c>
      <c r="AW61" s="738">
        <f ca="1">IF(AV61&gt;0,0,IF($N61="x",0,IF(($AU61-6)&lt;$C$5,'Physical Condition Assessment'!$AP61,0)))</f>
        <v>0</v>
      </c>
      <c r="AX61" s="738">
        <f ca="1">IF(SUM(AV61:AW61)&gt;0,0,IF($N61="x",0,IF(($AU61-11)&lt;$C$5,'Physical Condition Assessment'!$AP61,0)))</f>
        <v>0</v>
      </c>
      <c r="AY61" s="738">
        <f ca="1">IF(SUM(AV61:AX61)&gt;0,0,IF($N61="x",0,IF(($AU61-16)&lt;$C$5,'Physical Condition Assessment'!$AP61,0)))</f>
        <v>0</v>
      </c>
    </row>
    <row r="62" spans="1:51" ht="16" thickBot="1" x14ac:dyDescent="0.25">
      <c r="A62" s="755" t="s">
        <v>158</v>
      </c>
      <c r="B62" s="756" t="s">
        <v>159</v>
      </c>
      <c r="C62" s="502" t="s">
        <v>171</v>
      </c>
      <c r="D62" s="537" t="s">
        <v>117</v>
      </c>
      <c r="E62" s="731"/>
      <c r="F62" s="729"/>
      <c r="G62" s="537" t="s">
        <v>41</v>
      </c>
      <c r="H62" s="732"/>
      <c r="I62" s="537" t="s">
        <v>42</v>
      </c>
      <c r="J62" s="732"/>
      <c r="K62" s="537" t="s">
        <v>43</v>
      </c>
      <c r="L62" s="732"/>
      <c r="M62" s="537" t="s">
        <v>44</v>
      </c>
      <c r="N62" s="732"/>
      <c r="O62" s="537" t="s">
        <v>52</v>
      </c>
      <c r="P62" s="2"/>
      <c r="Q62" s="3" t="s">
        <v>52</v>
      </c>
      <c r="R62" s="783"/>
      <c r="S62" s="784">
        <f>'Physical Condition Assessment'!E62*'PCA Cost Tables - READ ONLY'!P62*'Physical Condition Assessment'!R62*'Base Information Sheet'!$B$38*'Base Information Sheet'!$B$37</f>
        <v>0</v>
      </c>
      <c r="T62" s="786"/>
      <c r="U62" t="s">
        <v>173</v>
      </c>
      <c r="V62" s="502" t="s">
        <v>114</v>
      </c>
      <c r="W62" s="849" t="s">
        <v>115</v>
      </c>
      <c r="X62" s="850"/>
      <c r="Y62" s="626" t="s">
        <v>116</v>
      </c>
      <c r="AE62" s="475" t="s">
        <v>51</v>
      </c>
      <c r="AF62" s="475"/>
      <c r="AG62" s="475" t="s">
        <v>72</v>
      </c>
      <c r="AH62" s="476">
        <f>_xlfn.XLOOKUP($U62,'PCA Cost Tables - READ ONLY'!$E$10:$E$172,'PCA Cost Tables - READ ONLY'!$F$10:$F$172,"BLANK",0)</f>
        <v>31.5</v>
      </c>
      <c r="AI62" s="476">
        <f>_xlfn.XLOOKUP($U62,'PCA Cost Tables - READ ONLY'!$E$10:$E$172,'PCA Cost Tables - READ ONLY'!$H$10:$H$172,"BLANK",0)</f>
        <v>126</v>
      </c>
      <c r="AJ62" s="476">
        <f>_xlfn.XLOOKUP($U62,'PCA Cost Tables - READ ONLY'!$E$10:$E$172,'PCA Cost Tables - READ ONLY'!$J$10:$J$172,"BLANK",0)</f>
        <v>1102.5</v>
      </c>
      <c r="AK62" s="476">
        <f>_xlfn.XLOOKUP($U62,'PCA Cost Tables - READ ONLY'!$E$10:$E$172,'PCA Cost Tables - READ ONLY'!$L$10:$L$172,"BLANK",0)</f>
        <v>2205</v>
      </c>
      <c r="AL62" s="477" t="b">
        <f>IF($AE62="SF",IF($AF62="X",'Base Information Sheet'!$B$23*'Physical Condition Assessment'!$E62*'Physical Condition Assessment'!$AJ62,"-"))</f>
        <v>0</v>
      </c>
      <c r="AM62" s="477" t="b">
        <f>IF($AE62="SF",IF($AG62="X",'Base Information Sheet'!$B$23*'Physical Condition Assessment'!$E62*'Physical Condition Assessment'!$AK62,"-"))</f>
        <v>0</v>
      </c>
      <c r="AN62" s="477" t="str">
        <f>IF($AE62="Unit",IF($AF62="X",'Physical Condition Assessment'!$E62*'Physical Condition Assessment'!$AJ62,"-"))</f>
        <v>-</v>
      </c>
      <c r="AO62" s="477">
        <f>IF($AE62="Unit",IF($AG62="X",'Physical Condition Assessment'!$E62*'Physical Condition Assessment'!$AK62,"-"))</f>
        <v>0</v>
      </c>
      <c r="AP62" s="477">
        <f t="shared" si="0"/>
        <v>0</v>
      </c>
      <c r="AQ62" s="478" t="e">
        <f t="shared" si="1"/>
        <v>#DIV/0!</v>
      </c>
      <c r="AR62" s="734"/>
      <c r="AS62" s="734">
        <v>20</v>
      </c>
      <c r="AT62" s="737">
        <f ca="1">IF($AR62&gt;0,$C$5-$AR62,$C$5-'Base Information Sheet'!$B$15)</f>
        <v>2026</v>
      </c>
      <c r="AU62" s="737">
        <f>IF($AR62&gt;0,$AR62+$AS62,'Base Information Sheet'!$B$15+'Physical Condition Assessment'!$AS62)</f>
        <v>20</v>
      </c>
      <c r="AV62" s="738">
        <f ca="1">IF($N62="x",0,IF($AU62&lt;=$C$5,'Physical Condition Assessment'!$AP62,0))</f>
        <v>0</v>
      </c>
      <c r="AW62" s="738">
        <f ca="1">IF(AV62&gt;0,0,IF($N62="x",0,IF(($AU62-6)&lt;$C$5,'Physical Condition Assessment'!$AP62,0)))</f>
        <v>0</v>
      </c>
      <c r="AX62" s="738">
        <f ca="1">IF(SUM(AV62:AW62)&gt;0,0,IF($N62="x",0,IF(($AU62-11)&lt;$C$5,'Physical Condition Assessment'!$AP62,0)))</f>
        <v>0</v>
      </c>
      <c r="AY62" s="738">
        <f ca="1">IF(SUM(AV62:AX62)&gt;0,0,IF($N62="x",0,IF(($AU62-16)&lt;$C$5,'Physical Condition Assessment'!$AP62,0)))</f>
        <v>0</v>
      </c>
    </row>
    <row r="63" spans="1:51" ht="16" thickBot="1" x14ac:dyDescent="0.25">
      <c r="A63" s="755" t="s">
        <v>158</v>
      </c>
      <c r="B63" s="756" t="s">
        <v>159</v>
      </c>
      <c r="C63" s="502" t="s">
        <v>171</v>
      </c>
      <c r="D63" s="537" t="s">
        <v>119</v>
      </c>
      <c r="E63" s="731"/>
      <c r="F63" s="729"/>
      <c r="G63" s="537" t="s">
        <v>41</v>
      </c>
      <c r="H63" s="732"/>
      <c r="I63" s="537" t="s">
        <v>42</v>
      </c>
      <c r="J63" s="732"/>
      <c r="K63" s="537" t="s">
        <v>43</v>
      </c>
      <c r="L63" s="732"/>
      <c r="M63" s="537" t="s">
        <v>44</v>
      </c>
      <c r="N63" s="732"/>
      <c r="O63" s="537" t="s">
        <v>52</v>
      </c>
      <c r="P63" s="2"/>
      <c r="Q63" s="3" t="s">
        <v>52</v>
      </c>
      <c r="R63" s="783"/>
      <c r="S63" s="784">
        <f>'Physical Condition Assessment'!E63*'PCA Cost Tables - READ ONLY'!P63*'Physical Condition Assessment'!R63*'Base Information Sheet'!$B$38*'Base Information Sheet'!$B$37</f>
        <v>0</v>
      </c>
      <c r="T63" s="786"/>
      <c r="U63" t="s">
        <v>174</v>
      </c>
      <c r="V63" s="502" t="s">
        <v>114</v>
      </c>
      <c r="W63" s="849"/>
      <c r="X63" s="850"/>
      <c r="Y63" s="627">
        <f>W63/20</f>
        <v>0</v>
      </c>
      <c r="AE63" s="475" t="s">
        <v>51</v>
      </c>
      <c r="AF63" s="475"/>
      <c r="AG63" s="475" t="s">
        <v>72</v>
      </c>
      <c r="AH63" s="476">
        <f>_xlfn.XLOOKUP($U63,'PCA Cost Tables - READ ONLY'!$E$10:$E$172,'PCA Cost Tables - READ ONLY'!$F$10:$F$172,"BLANK",0)</f>
        <v>115.29</v>
      </c>
      <c r="AI63" s="476">
        <f>_xlfn.XLOOKUP($U63,'PCA Cost Tables - READ ONLY'!$E$10:$E$172,'PCA Cost Tables - READ ONLY'!$H$10:$H$172,"BLANK",0)</f>
        <v>461.16</v>
      </c>
      <c r="AJ63" s="476">
        <f>_xlfn.XLOOKUP($U63,'PCA Cost Tables - READ ONLY'!$E$10:$E$172,'PCA Cost Tables - READ ONLY'!$J$10:$J$172,"BLANK",0)</f>
        <v>1537.2</v>
      </c>
      <c r="AK63" s="476">
        <f>_xlfn.XLOOKUP($U63,'PCA Cost Tables - READ ONLY'!$E$10:$E$172,'PCA Cost Tables - READ ONLY'!$L$10:$L$172,"BLANK",0)</f>
        <v>3074.4</v>
      </c>
      <c r="AL63" s="477" t="b">
        <f>IF($AE63="SF",IF($AF63="X",'Base Information Sheet'!$B$23*'Physical Condition Assessment'!$E63*'Physical Condition Assessment'!$AJ63,"-"))</f>
        <v>0</v>
      </c>
      <c r="AM63" s="477" t="b">
        <f>IF($AE63="SF",IF($AG63="X",'Base Information Sheet'!$B$23*'Physical Condition Assessment'!$E63*'Physical Condition Assessment'!$AK63,"-"))</f>
        <v>0</v>
      </c>
      <c r="AN63" s="477" t="str">
        <f>IF($AE63="Unit",IF($AF63="X",'Physical Condition Assessment'!$E63*'Physical Condition Assessment'!$AJ63,"-"))</f>
        <v>-</v>
      </c>
      <c r="AO63" s="477">
        <f>IF($AE63="Unit",IF($AG63="X",'Physical Condition Assessment'!$E63*'Physical Condition Assessment'!$AK63,"-"))</f>
        <v>0</v>
      </c>
      <c r="AP63" s="477">
        <f t="shared" si="0"/>
        <v>0</v>
      </c>
      <c r="AQ63" s="478" t="e">
        <f t="shared" si="1"/>
        <v>#DIV/0!</v>
      </c>
      <c r="AR63" s="734"/>
      <c r="AS63" s="734">
        <v>20</v>
      </c>
      <c r="AT63" s="737">
        <f ca="1">IF($AR63&gt;0,$C$5-$AR63,$C$5-'Base Information Sheet'!$B$15)</f>
        <v>2026</v>
      </c>
      <c r="AU63" s="737">
        <f>IF($AR63&gt;0,$AR63+$AS63,'Base Information Sheet'!$B$15+'Physical Condition Assessment'!$AS63)</f>
        <v>20</v>
      </c>
      <c r="AV63" s="738">
        <f ca="1">IF($N63="x",0,IF($AU63&lt;=$C$5,'Physical Condition Assessment'!$AP63,0))</f>
        <v>0</v>
      </c>
      <c r="AW63" s="738">
        <f ca="1">IF(AV63&gt;0,0,IF($N63="x",0,IF(($AU63-6)&lt;$C$5,'Physical Condition Assessment'!$AP63,0)))</f>
        <v>0</v>
      </c>
      <c r="AX63" s="738">
        <f ca="1">IF(SUM(AV63:AW63)&gt;0,0,IF($N63="x",0,IF(($AU63-11)&lt;$C$5,'Physical Condition Assessment'!$AP63,0)))</f>
        <v>0</v>
      </c>
      <c r="AY63" s="738">
        <f ca="1">IF(SUM(AV63:AX63)&gt;0,0,IF($N63="x",0,IF(($AU63-16)&lt;$C$5,'Physical Condition Assessment'!$AP63,0)))</f>
        <v>0</v>
      </c>
    </row>
    <row r="64" spans="1:51" ht="16" thickBot="1" x14ac:dyDescent="0.25">
      <c r="A64" s="755"/>
      <c r="B64" s="767" t="s">
        <v>175</v>
      </c>
      <c r="E64" s="769"/>
      <c r="P64" s="770"/>
      <c r="Q64" s="537" t="s">
        <v>52</v>
      </c>
      <c r="R64" s="796"/>
      <c r="S64" s="503"/>
      <c r="T64" s="788"/>
      <c r="U64"/>
      <c r="AE64" s="491"/>
      <c r="AF64" s="492"/>
      <c r="AG64" s="492"/>
      <c r="AH64" s="492"/>
      <c r="AI64" s="492"/>
      <c r="AJ64" s="493"/>
      <c r="AK64" s="493"/>
      <c r="AL64" s="492"/>
      <c r="AM64" s="492"/>
      <c r="AN64" s="492"/>
      <c r="AO64" s="492"/>
      <c r="AP64" s="494"/>
      <c r="AQ64" s="494"/>
      <c r="AR64" s="747"/>
      <c r="AS64" s="747"/>
      <c r="AT64" s="748"/>
      <c r="AU64" s="749"/>
      <c r="AV64" s="749"/>
      <c r="AW64" s="749"/>
      <c r="AX64" s="749"/>
      <c r="AY64" s="750"/>
    </row>
    <row r="65" spans="1:51" ht="16" thickBot="1" x14ac:dyDescent="0.25">
      <c r="A65" s="755" t="s">
        <v>158</v>
      </c>
      <c r="B65" s="618" t="s">
        <v>175</v>
      </c>
      <c r="C65" s="502" t="s">
        <v>176</v>
      </c>
      <c r="D65" s="502" t="s">
        <v>83</v>
      </c>
      <c r="E65" s="730"/>
      <c r="F65" s="729"/>
      <c r="G65" s="537" t="s">
        <v>41</v>
      </c>
      <c r="H65" s="732"/>
      <c r="I65" s="537" t="s">
        <v>42</v>
      </c>
      <c r="J65" s="732"/>
      <c r="K65" s="537" t="s">
        <v>43</v>
      </c>
      <c r="L65" s="732"/>
      <c r="M65" s="537" t="s">
        <v>44</v>
      </c>
      <c r="N65" s="732"/>
      <c r="O65" s="537" t="s">
        <v>52</v>
      </c>
      <c r="P65" s="2"/>
      <c r="Q65" s="3" t="s">
        <v>52</v>
      </c>
      <c r="R65" s="783"/>
      <c r="S65" s="784">
        <f>'Physical Condition Assessment'!E65*'PCA Cost Tables - READ ONLY'!P65*'Physical Condition Assessment'!R65*'Base Information Sheet'!$B$38*'Base Information Sheet'!$B$37</f>
        <v>0</v>
      </c>
      <c r="T65" s="786"/>
      <c r="U65" t="s">
        <v>177</v>
      </c>
      <c r="V65" s="502" t="s">
        <v>85</v>
      </c>
      <c r="W65" s="846" t="s">
        <v>2031</v>
      </c>
      <c r="X65" s="847"/>
      <c r="Y65" s="848"/>
      <c r="AE65" s="475" t="s">
        <v>51</v>
      </c>
      <c r="AF65" s="475"/>
      <c r="AG65" s="475" t="s">
        <v>72</v>
      </c>
      <c r="AH65" s="476">
        <f>_xlfn.XLOOKUP($U65,'PCA Cost Tables - READ ONLY'!$E$10:$E$172,'PCA Cost Tables - READ ONLY'!$F$10:$F$172,"BLANK",0)</f>
        <v>893.75</v>
      </c>
      <c r="AI65" s="476">
        <f>_xlfn.XLOOKUP($U65,'PCA Cost Tables - READ ONLY'!$E$10:$E$172,'PCA Cost Tables - READ ONLY'!$H$10:$H$172,"BLANK",0)</f>
        <v>8937.5</v>
      </c>
      <c r="AJ65" s="476">
        <f>_xlfn.XLOOKUP($U65,'PCA Cost Tables - READ ONLY'!$E$10:$E$172,'PCA Cost Tables - READ ONLY'!$J$10:$J$172,"BLANK",0)</f>
        <v>19662.5</v>
      </c>
      <c r="AK65" s="476">
        <f>_xlfn.XLOOKUP($U65,'PCA Cost Tables - READ ONLY'!$E$10:$E$172,'PCA Cost Tables - READ ONLY'!$L$10:$L$172,"BLANK",0)</f>
        <v>44687.5</v>
      </c>
      <c r="AL65" s="477" t="b">
        <f>IF($AE65="SF",IF($AF65="X",'Base Information Sheet'!$B$23*'Physical Condition Assessment'!$E65*'Physical Condition Assessment'!$AJ65,"-"))</f>
        <v>0</v>
      </c>
      <c r="AM65" s="477" t="b">
        <f>IF($AE65="SF",IF($AG65="X",'Base Information Sheet'!$B$23*'Physical Condition Assessment'!$E65*'Physical Condition Assessment'!$AK65,"-"))</f>
        <v>0</v>
      </c>
      <c r="AN65" s="477" t="str">
        <f>IF($AE65="Unit",IF($AF65="X",'Physical Condition Assessment'!$E65*'Physical Condition Assessment'!$AJ65,"-"))</f>
        <v>-</v>
      </c>
      <c r="AO65" s="477">
        <f>IF($AE65="Unit",IF($AG65="X",'Physical Condition Assessment'!$E65*'Physical Condition Assessment'!$AK65,"-"))</f>
        <v>0</v>
      </c>
      <c r="AP65" s="477">
        <f t="shared" si="0"/>
        <v>0</v>
      </c>
      <c r="AQ65" s="478" t="e">
        <f t="shared" si="1"/>
        <v>#DIV/0!</v>
      </c>
      <c r="AR65" s="734"/>
      <c r="AS65" s="734">
        <v>15</v>
      </c>
      <c r="AT65" s="737">
        <f ca="1">IF($AR65&gt;0,$C$5-$AR65,$C$5-'Base Information Sheet'!$B$15)</f>
        <v>2026</v>
      </c>
      <c r="AU65" s="737">
        <f>IF($AR65&gt;0,$AR65+$AS65,'Base Information Sheet'!$B$15+'Physical Condition Assessment'!$AS65)</f>
        <v>15</v>
      </c>
      <c r="AV65" s="738">
        <f ca="1">IF($N65="x",0,IF($AU65&lt;=$C$5,'Physical Condition Assessment'!$AP65,0))</f>
        <v>0</v>
      </c>
      <c r="AW65" s="738">
        <f ca="1">IF(AV65&gt;0,0,IF($N65="x",0,IF(($AU65-6)&lt;$C$5,'Physical Condition Assessment'!$AP65,0)))</f>
        <v>0</v>
      </c>
      <c r="AX65" s="738">
        <f ca="1">IF(SUM(AV65:AW65)&gt;0,0,IF($N65="x",0,IF(($AU65-11)&lt;$C$5,'Physical Condition Assessment'!$AP65,0)))</f>
        <v>0</v>
      </c>
      <c r="AY65" s="738">
        <f ca="1">IF(SUM(AV65:AX65)&gt;0,0,IF($N65="x",0,IF(($AU65-16)&lt;$C$5,'Physical Condition Assessment'!$AP65,0)))</f>
        <v>0</v>
      </c>
    </row>
    <row r="66" spans="1:51" ht="16" thickBot="1" x14ac:dyDescent="0.25">
      <c r="A66" s="755" t="s">
        <v>158</v>
      </c>
      <c r="B66" s="756" t="s">
        <v>175</v>
      </c>
      <c r="C66" s="502" t="s">
        <v>176</v>
      </c>
      <c r="D66" s="502" t="s">
        <v>149</v>
      </c>
      <c r="E66" s="730"/>
      <c r="F66" s="729"/>
      <c r="G66" s="537" t="s">
        <v>41</v>
      </c>
      <c r="H66" s="732"/>
      <c r="I66" s="537" t="s">
        <v>42</v>
      </c>
      <c r="J66" s="732"/>
      <c r="K66" s="537" t="s">
        <v>43</v>
      </c>
      <c r="L66" s="732"/>
      <c r="M66" s="537" t="s">
        <v>44</v>
      </c>
      <c r="N66" s="732"/>
      <c r="O66" s="537" t="s">
        <v>52</v>
      </c>
      <c r="P66" s="2"/>
      <c r="Q66" s="3"/>
      <c r="R66" s="783"/>
      <c r="S66" s="784">
        <f>'Physical Condition Assessment'!E66*'PCA Cost Tables - READ ONLY'!P66*'Physical Condition Assessment'!R66*'Base Information Sheet'!$B$38*'Base Information Sheet'!$B$37</f>
        <v>0</v>
      </c>
      <c r="T66" s="786"/>
      <c r="U66" t="s">
        <v>178</v>
      </c>
      <c r="V66" s="502" t="s">
        <v>85</v>
      </c>
      <c r="W66" s="849" t="s">
        <v>126</v>
      </c>
      <c r="X66" s="850"/>
      <c r="Y66" s="626" t="s">
        <v>116</v>
      </c>
      <c r="AE66" s="475" t="s">
        <v>51</v>
      </c>
      <c r="AF66" s="475"/>
      <c r="AG66" s="475" t="s">
        <v>72</v>
      </c>
      <c r="AH66" s="476">
        <f>_xlfn.XLOOKUP($U66,'PCA Cost Tables - READ ONLY'!$E$10:$E$172,'PCA Cost Tables - READ ONLY'!$F$10:$F$172,"BLANK",0)</f>
        <v>1340.625</v>
      </c>
      <c r="AI66" s="476">
        <f>_xlfn.XLOOKUP($U66,'PCA Cost Tables - READ ONLY'!$E$10:$E$172,'PCA Cost Tables - READ ONLY'!$H$10:$H$172,"BLANK",0)</f>
        <v>8937.5</v>
      </c>
      <c r="AJ66" s="476">
        <f>_xlfn.XLOOKUP($U66,'PCA Cost Tables - READ ONLY'!$E$10:$E$172,'PCA Cost Tables - READ ONLY'!$J$10:$J$172,"BLANK",0)</f>
        <v>26812.5</v>
      </c>
      <c r="AK66" s="476">
        <f>_xlfn.XLOOKUP($U66,'PCA Cost Tables - READ ONLY'!$E$10:$E$172,'PCA Cost Tables - READ ONLY'!$L$10:$L$172,"BLANK",0)</f>
        <v>53625</v>
      </c>
      <c r="AL66" s="477" t="b">
        <f>IF($AE66="SF",IF($AF66="X",'Base Information Sheet'!$B$23*'Physical Condition Assessment'!$E66*'Physical Condition Assessment'!$AJ66,"-"))</f>
        <v>0</v>
      </c>
      <c r="AM66" s="477" t="b">
        <f>IF($AE66="SF",IF($AG66="X",'Base Information Sheet'!$B$23*'Physical Condition Assessment'!$E66*'Physical Condition Assessment'!$AK66,"-"))</f>
        <v>0</v>
      </c>
      <c r="AN66" s="477" t="str">
        <f>IF($AE66="Unit",IF($AF66="X",'Physical Condition Assessment'!$E66*'Physical Condition Assessment'!$AJ66,"-"))</f>
        <v>-</v>
      </c>
      <c r="AO66" s="477">
        <f>IF($AE66="Unit",IF($AG66="X",'Physical Condition Assessment'!$E66*'Physical Condition Assessment'!$AK66,"-"))</f>
        <v>0</v>
      </c>
      <c r="AP66" s="477">
        <f t="shared" si="0"/>
        <v>0</v>
      </c>
      <c r="AQ66" s="478" t="e">
        <f t="shared" si="1"/>
        <v>#DIV/0!</v>
      </c>
      <c r="AR66" s="734"/>
      <c r="AS66" s="734">
        <v>15</v>
      </c>
      <c r="AT66" s="737">
        <f ca="1">IF($AR66&gt;0,$C$5-$AR66,$C$5-'Base Information Sheet'!$B$15)</f>
        <v>2026</v>
      </c>
      <c r="AU66" s="737">
        <f>IF($AR66&gt;0,$AR66+$AS66,'Base Information Sheet'!$B$15+'Physical Condition Assessment'!$AS66)</f>
        <v>15</v>
      </c>
      <c r="AV66" s="738">
        <f ca="1">IF($N66="x",0,IF($AU66&lt;=$C$5,'Physical Condition Assessment'!$AP66,0))</f>
        <v>0</v>
      </c>
      <c r="AW66" s="738">
        <f ca="1">IF(AV66&gt;0,0,IF($N66="x",0,IF(($AU66-6)&lt;$C$5,'Physical Condition Assessment'!$AP66,0)))</f>
        <v>0</v>
      </c>
      <c r="AX66" s="738">
        <f ca="1">IF(SUM(AV66:AW66)&gt;0,0,IF($N66="x",0,IF(($AU66-11)&lt;$C$5,'Physical Condition Assessment'!$AP66,0)))</f>
        <v>0</v>
      </c>
      <c r="AY66" s="738">
        <f ca="1">IF(SUM(AV66:AX66)&gt;0,0,IF($N66="x",0,IF(($AU66-16)&lt;$C$5,'Physical Condition Assessment'!$AP66,0)))</f>
        <v>0</v>
      </c>
    </row>
    <row r="67" spans="1:51" ht="16" thickBot="1" x14ac:dyDescent="0.25">
      <c r="A67" s="755" t="s">
        <v>158</v>
      </c>
      <c r="B67" s="756" t="s">
        <v>175</v>
      </c>
      <c r="C67" s="502" t="s">
        <v>176</v>
      </c>
      <c r="D67" s="502" t="s">
        <v>88</v>
      </c>
      <c r="E67" s="730"/>
      <c r="F67" s="729"/>
      <c r="G67" s="537" t="s">
        <v>41</v>
      </c>
      <c r="H67" s="732"/>
      <c r="I67" s="537" t="s">
        <v>42</v>
      </c>
      <c r="J67" s="732"/>
      <c r="K67" s="537" t="s">
        <v>43</v>
      </c>
      <c r="L67" s="732"/>
      <c r="M67" s="537" t="s">
        <v>44</v>
      </c>
      <c r="N67" s="732"/>
      <c r="O67" s="537" t="s">
        <v>52</v>
      </c>
      <c r="P67" s="2"/>
      <c r="Q67" s="3" t="s">
        <v>52</v>
      </c>
      <c r="R67" s="783"/>
      <c r="S67" s="784">
        <f>'Physical Condition Assessment'!E67*'PCA Cost Tables - READ ONLY'!P67*'Physical Condition Assessment'!R67*'Base Information Sheet'!$B$38*'Base Information Sheet'!$B$37</f>
        <v>0</v>
      </c>
      <c r="T67" s="786"/>
      <c r="U67" t="s">
        <v>179</v>
      </c>
      <c r="V67" s="502" t="s">
        <v>85</v>
      </c>
      <c r="W67" s="849"/>
      <c r="X67" s="850"/>
      <c r="Y67" s="627">
        <f>W67/2880</f>
        <v>0</v>
      </c>
      <c r="AE67" s="475" t="s">
        <v>51</v>
      </c>
      <c r="AF67" s="475"/>
      <c r="AG67" s="475" t="s">
        <v>72</v>
      </c>
      <c r="AH67" s="476">
        <f>_xlfn.XLOOKUP($U67,'PCA Cost Tables - READ ONLY'!$E$10:$E$172,'PCA Cost Tables - READ ONLY'!$F$10:$F$172,"BLANK",0)</f>
        <v>885</v>
      </c>
      <c r="AI67" s="476">
        <f>_xlfn.XLOOKUP($U67,'PCA Cost Tables - READ ONLY'!$E$10:$E$172,'PCA Cost Tables - READ ONLY'!$H$10:$H$172,"BLANK",0)</f>
        <v>8850</v>
      </c>
      <c r="AJ67" s="476">
        <f>_xlfn.XLOOKUP($U67,'PCA Cost Tables - READ ONLY'!$E$10:$E$172,'PCA Cost Tables - READ ONLY'!$J$10:$J$172,"BLANK",0)</f>
        <v>23600</v>
      </c>
      <c r="AK67" s="476">
        <f>_xlfn.XLOOKUP($U67,'PCA Cost Tables - READ ONLY'!$E$10:$E$172,'PCA Cost Tables - READ ONLY'!$L$10:$L$172,"BLANK",0)</f>
        <v>41300</v>
      </c>
      <c r="AL67" s="477" t="b">
        <f>IF($AE67="SF",IF($AF67="X",'Base Information Sheet'!$B$23*'Physical Condition Assessment'!$E67*'Physical Condition Assessment'!$AJ67,"-"))</f>
        <v>0</v>
      </c>
      <c r="AM67" s="477" t="b">
        <f>IF($AE67="SF",IF($AG67="X",'Base Information Sheet'!$B$23*'Physical Condition Assessment'!$E67*'Physical Condition Assessment'!$AK67,"-"))</f>
        <v>0</v>
      </c>
      <c r="AN67" s="477" t="str">
        <f>IF($AE67="Unit",IF($AF67="X",'Physical Condition Assessment'!$E67*'Physical Condition Assessment'!$AJ67,"-"))</f>
        <v>-</v>
      </c>
      <c r="AO67" s="477">
        <f>IF($AE67="Unit",IF($AG67="X",'Physical Condition Assessment'!$E67*'Physical Condition Assessment'!$AK67,"-"))</f>
        <v>0</v>
      </c>
      <c r="AP67" s="477">
        <f t="shared" si="0"/>
        <v>0</v>
      </c>
      <c r="AQ67" s="478" t="e">
        <f t="shared" si="1"/>
        <v>#DIV/0!</v>
      </c>
      <c r="AR67" s="734"/>
      <c r="AS67" s="734">
        <v>15</v>
      </c>
      <c r="AT67" s="737">
        <f ca="1">IF($AR67&gt;0,$C$5-$AR67,$C$5-'Base Information Sheet'!$B$15)</f>
        <v>2026</v>
      </c>
      <c r="AU67" s="737">
        <f>IF($AR67&gt;0,$AR67+$AS67,'Base Information Sheet'!$B$15+'Physical Condition Assessment'!$AS67)</f>
        <v>15</v>
      </c>
      <c r="AV67" s="738">
        <f ca="1">IF($N67="x",0,IF($AU67&lt;=$C$5,'Physical Condition Assessment'!$AP67,0))</f>
        <v>0</v>
      </c>
      <c r="AW67" s="738">
        <f ca="1">IF(AV67&gt;0,0,IF($N67="x",0,IF(($AU67-6)&lt;$C$5,'Physical Condition Assessment'!$AP67,0)))</f>
        <v>0</v>
      </c>
      <c r="AX67" s="738">
        <f ca="1">IF(SUM(AV67:AW67)&gt;0,0,IF($N67="x",0,IF(($AU67-11)&lt;$C$5,'Physical Condition Assessment'!$AP67,0)))</f>
        <v>0</v>
      </c>
      <c r="AY67" s="738">
        <f ca="1">IF(SUM(AV67:AX67)&gt;0,0,IF($N67="x",0,IF(($AU67-16)&lt;$C$5,'Physical Condition Assessment'!$AP67,0)))</f>
        <v>0</v>
      </c>
    </row>
    <row r="68" spans="1:51" ht="16" thickBot="1" x14ac:dyDescent="0.25">
      <c r="A68" s="755" t="s">
        <v>158</v>
      </c>
      <c r="B68" s="756" t="s">
        <v>175</v>
      </c>
      <c r="C68" s="502" t="s">
        <v>180</v>
      </c>
      <c r="D68" s="502" t="s">
        <v>181</v>
      </c>
      <c r="E68" s="730"/>
      <c r="F68" s="729"/>
      <c r="G68" s="537" t="s">
        <v>41</v>
      </c>
      <c r="H68" s="732"/>
      <c r="I68" s="537" t="s">
        <v>42</v>
      </c>
      <c r="J68" s="732"/>
      <c r="K68" s="537" t="s">
        <v>43</v>
      </c>
      <c r="L68" s="732"/>
      <c r="M68" s="537" t="s">
        <v>44</v>
      </c>
      <c r="N68" s="732"/>
      <c r="O68" s="537" t="s">
        <v>52</v>
      </c>
      <c r="P68" s="2"/>
      <c r="Q68" s="3" t="s">
        <v>52</v>
      </c>
      <c r="R68" s="783"/>
      <c r="S68" s="784">
        <f>'Physical Condition Assessment'!E68*'PCA Cost Tables - READ ONLY'!P68*'Physical Condition Assessment'!R68*'Base Information Sheet'!$B$38*'Base Information Sheet'!$B$37</f>
        <v>0</v>
      </c>
      <c r="T68" s="786"/>
      <c r="U68" t="s">
        <v>182</v>
      </c>
      <c r="V68" s="502" t="s">
        <v>85</v>
      </c>
      <c r="AE68" s="475" t="s">
        <v>51</v>
      </c>
      <c r="AF68" s="475"/>
      <c r="AG68" s="475" t="s">
        <v>72</v>
      </c>
      <c r="AH68" s="476">
        <f>_xlfn.XLOOKUP($U68,'PCA Cost Tables - READ ONLY'!$E$10:$E$172,'PCA Cost Tables - READ ONLY'!$F$10:$F$172,"BLANK",0)</f>
        <v>982.35000000000014</v>
      </c>
      <c r="AI68" s="476">
        <f>_xlfn.XLOOKUP($U68,'PCA Cost Tables - READ ONLY'!$E$10:$E$172,'PCA Cost Tables - READ ONLY'!$H$10:$H$172,"BLANK",0)</f>
        <v>1964.7000000000003</v>
      </c>
      <c r="AJ68" s="476">
        <f>_xlfn.XLOOKUP($U68,'PCA Cost Tables - READ ONLY'!$E$10:$E$172,'PCA Cost Tables - READ ONLY'!$J$10:$J$172,"BLANK",0)</f>
        <v>3929.4000000000005</v>
      </c>
      <c r="AK68" s="476">
        <f>_xlfn.XLOOKUP($U68,'PCA Cost Tables - READ ONLY'!$E$10:$E$172,'PCA Cost Tables - READ ONLY'!$L$10:$L$172,"BLANK",0)</f>
        <v>6549.0000000000009</v>
      </c>
      <c r="AL68" s="477" t="b">
        <f>IF($AE68="SF",IF($AF68="X",'Base Information Sheet'!$B$23*'Physical Condition Assessment'!$E68*'Physical Condition Assessment'!$AJ68,"-"))</f>
        <v>0</v>
      </c>
      <c r="AM68" s="477" t="b">
        <f>IF($AE68="SF",IF($AG68="X",'Base Information Sheet'!$B$23*'Physical Condition Assessment'!$E68*'Physical Condition Assessment'!$AK68,"-"))</f>
        <v>0</v>
      </c>
      <c r="AN68" s="477" t="str">
        <f>IF($AE68="Unit",IF($AF68="X",'Physical Condition Assessment'!$E68*'Physical Condition Assessment'!$AJ68,"-"))</f>
        <v>-</v>
      </c>
      <c r="AO68" s="477">
        <f>IF($AE68="Unit",IF($AG68="X",'Physical Condition Assessment'!$E68*'Physical Condition Assessment'!$AK68,"-"))</f>
        <v>0</v>
      </c>
      <c r="AP68" s="477">
        <f t="shared" si="0"/>
        <v>0</v>
      </c>
      <c r="AQ68" s="478" t="e">
        <f t="shared" si="1"/>
        <v>#DIV/0!</v>
      </c>
      <c r="AR68" s="734"/>
      <c r="AS68" s="734">
        <v>20</v>
      </c>
      <c r="AT68" s="737">
        <f ca="1">IF($AR68&gt;0,$C$5-$AR68,$C$5-'Base Information Sheet'!$B$15)</f>
        <v>2026</v>
      </c>
      <c r="AU68" s="737">
        <f>IF($AR68&gt;0,$AR68+$AS68,'Base Information Sheet'!$B$15+'Physical Condition Assessment'!$AS68)</f>
        <v>20</v>
      </c>
      <c r="AV68" s="738">
        <f ca="1">IF($N68="x",0,IF($AU68&lt;=$C$5,'Physical Condition Assessment'!$AP68,0))</f>
        <v>0</v>
      </c>
      <c r="AW68" s="738">
        <f ca="1">IF(AV68&gt;0,0,IF($N68="x",0,IF(($AU68-6)&lt;$C$5,'Physical Condition Assessment'!$AP68,0)))</f>
        <v>0</v>
      </c>
      <c r="AX68" s="738">
        <f ca="1">IF(SUM(AV68:AW68)&gt;0,0,IF($N68="x",0,IF(($AU68-11)&lt;$C$5,'Physical Condition Assessment'!$AP68,0)))</f>
        <v>0</v>
      </c>
      <c r="AY68" s="738">
        <f ca="1">IF(SUM(AV68:AX68)&gt;0,0,IF($N68="x",0,IF(($AU68-16)&lt;$C$5,'Physical Condition Assessment'!$AP68,0)))</f>
        <v>0</v>
      </c>
    </row>
    <row r="69" spans="1:51" ht="16" thickBot="1" x14ac:dyDescent="0.25">
      <c r="A69" s="755" t="s">
        <v>158</v>
      </c>
      <c r="B69" s="756" t="s">
        <v>175</v>
      </c>
      <c r="C69" s="502" t="s">
        <v>180</v>
      </c>
      <c r="D69" s="502" t="s">
        <v>183</v>
      </c>
      <c r="E69" s="730"/>
      <c r="F69" s="729"/>
      <c r="G69" s="537" t="s">
        <v>41</v>
      </c>
      <c r="H69" s="732"/>
      <c r="I69" s="537" t="s">
        <v>42</v>
      </c>
      <c r="J69" s="732"/>
      <c r="K69" s="537" t="s">
        <v>43</v>
      </c>
      <c r="L69" s="732"/>
      <c r="M69" s="537" t="s">
        <v>44</v>
      </c>
      <c r="N69" s="732"/>
      <c r="O69" s="537" t="s">
        <v>52</v>
      </c>
      <c r="P69" s="2"/>
      <c r="Q69" s="3" t="s">
        <v>52</v>
      </c>
      <c r="R69" s="783"/>
      <c r="S69" s="784">
        <f>'Physical Condition Assessment'!E69*'PCA Cost Tables - READ ONLY'!P69*'Physical Condition Assessment'!R69*'Base Information Sheet'!$B$38*'Base Information Sheet'!$B$37</f>
        <v>0</v>
      </c>
      <c r="T69" s="786"/>
      <c r="U69" t="s">
        <v>184</v>
      </c>
      <c r="V69" s="502" t="s">
        <v>85</v>
      </c>
      <c r="AE69" s="475" t="s">
        <v>51</v>
      </c>
      <c r="AF69" s="475"/>
      <c r="AG69" s="475" t="s">
        <v>72</v>
      </c>
      <c r="AH69" s="476">
        <f>_xlfn.XLOOKUP($U69,'PCA Cost Tables - READ ONLY'!$E$10:$E$172,'PCA Cost Tables - READ ONLY'!$F$10:$F$172,"BLANK",0)</f>
        <v>654.9</v>
      </c>
      <c r="AI69" s="476">
        <f>_xlfn.XLOOKUP($U69,'PCA Cost Tables - READ ONLY'!$E$10:$E$172,'PCA Cost Tables - READ ONLY'!$H$10:$H$172,"BLANK",0)</f>
        <v>982.35000000000014</v>
      </c>
      <c r="AJ69" s="476">
        <f>_xlfn.XLOOKUP($U69,'PCA Cost Tables - READ ONLY'!$E$10:$E$172,'PCA Cost Tables - READ ONLY'!$J$10:$J$172,"BLANK",0)</f>
        <v>1964.7000000000003</v>
      </c>
      <c r="AK69" s="476">
        <f>_xlfn.XLOOKUP($U69,'PCA Cost Tables - READ ONLY'!$E$10:$E$172,'PCA Cost Tables - READ ONLY'!$L$10:$L$172,"BLANK",0)</f>
        <v>3274.5000000000005</v>
      </c>
      <c r="AL69" s="477" t="b">
        <f>IF($AE69="SF",IF($AF69="X",'Base Information Sheet'!$B$23*'Physical Condition Assessment'!$E69*'Physical Condition Assessment'!$AJ69,"-"))</f>
        <v>0</v>
      </c>
      <c r="AM69" s="477" t="b">
        <f>IF($AE69="SF",IF($AG69="X",'Base Information Sheet'!$B$23*'Physical Condition Assessment'!$E69*'Physical Condition Assessment'!$AK69,"-"))</f>
        <v>0</v>
      </c>
      <c r="AN69" s="477" t="str">
        <f>IF($AE69="Unit",IF($AF69="X",'Physical Condition Assessment'!$E69*'Physical Condition Assessment'!$AJ69,"-"))</f>
        <v>-</v>
      </c>
      <c r="AO69" s="477">
        <f>IF($AE69="Unit",IF($AG69="X",'Physical Condition Assessment'!$E69*'Physical Condition Assessment'!$AK69,"-"))</f>
        <v>0</v>
      </c>
      <c r="AP69" s="477">
        <f t="shared" si="0"/>
        <v>0</v>
      </c>
      <c r="AQ69" s="478" t="e">
        <f t="shared" si="1"/>
        <v>#DIV/0!</v>
      </c>
      <c r="AR69" s="734"/>
      <c r="AS69" s="734">
        <v>20</v>
      </c>
      <c r="AT69" s="737">
        <f ca="1">IF($AR69&gt;0,$C$5-$AR69,$C$5-'Base Information Sheet'!$B$15)</f>
        <v>2026</v>
      </c>
      <c r="AU69" s="737">
        <f>IF($AR69&gt;0,$AR69+$AS69,'Base Information Sheet'!$B$15+'Physical Condition Assessment'!$AS69)</f>
        <v>20</v>
      </c>
      <c r="AV69" s="738">
        <f ca="1">IF($N69="x",0,IF($AU69&lt;=$C$5,'Physical Condition Assessment'!$AP69,0))</f>
        <v>0</v>
      </c>
      <c r="AW69" s="738">
        <f ca="1">IF(AV69&gt;0,0,IF($N69="x",0,IF(($AU69-6)&lt;$C$5,'Physical Condition Assessment'!$AP69,0)))</f>
        <v>0</v>
      </c>
      <c r="AX69" s="738">
        <f ca="1">IF(SUM(AV69:AW69)&gt;0,0,IF($N69="x",0,IF(($AU69-11)&lt;$C$5,'Physical Condition Assessment'!$AP69,0)))</f>
        <v>0</v>
      </c>
      <c r="AY69" s="738">
        <f ca="1">IF(SUM(AV69:AX69)&gt;0,0,IF($N69="x",0,IF(($AU69-16)&lt;$C$5,'Physical Condition Assessment'!$AP69,0)))</f>
        <v>0</v>
      </c>
    </row>
    <row r="70" spans="1:51" ht="16" thickBot="1" x14ac:dyDescent="0.25">
      <c r="A70" s="755" t="s">
        <v>158</v>
      </c>
      <c r="B70" s="756" t="s">
        <v>175</v>
      </c>
      <c r="C70" s="502" t="s">
        <v>180</v>
      </c>
      <c r="D70" s="502" t="s">
        <v>83</v>
      </c>
      <c r="E70" s="730"/>
      <c r="F70" s="729"/>
      <c r="G70" s="537" t="s">
        <v>41</v>
      </c>
      <c r="H70" s="732"/>
      <c r="I70" s="537" t="s">
        <v>42</v>
      </c>
      <c r="J70" s="732"/>
      <c r="K70" s="537" t="s">
        <v>43</v>
      </c>
      <c r="L70" s="732"/>
      <c r="M70" s="537" t="s">
        <v>44</v>
      </c>
      <c r="N70" s="732"/>
      <c r="O70" s="537" t="s">
        <v>52</v>
      </c>
      <c r="P70" s="1"/>
      <c r="Q70" s="3"/>
      <c r="R70" s="783"/>
      <c r="S70" s="784">
        <f>'Physical Condition Assessment'!E70*'PCA Cost Tables - READ ONLY'!P70*'Physical Condition Assessment'!R70*'Base Information Sheet'!$B$38*'Base Information Sheet'!$B$37</f>
        <v>0</v>
      </c>
      <c r="T70" s="786"/>
      <c r="U70" t="s">
        <v>185</v>
      </c>
      <c r="V70" s="502" t="s">
        <v>85</v>
      </c>
      <c r="AE70" s="475" t="s">
        <v>51</v>
      </c>
      <c r="AF70" s="475"/>
      <c r="AG70" s="475" t="s">
        <v>72</v>
      </c>
      <c r="AH70" s="476">
        <f>_xlfn.XLOOKUP($U70,'PCA Cost Tables - READ ONLY'!$E$10:$E$172,'PCA Cost Tables - READ ONLY'!$F$10:$F$172,"BLANK",0)</f>
        <v>793.65</v>
      </c>
      <c r="AI70" s="476">
        <f>_xlfn.XLOOKUP($U70,'PCA Cost Tables - READ ONLY'!$E$10:$E$172,'PCA Cost Tables - READ ONLY'!$H$10:$H$172,"BLANK",0)</f>
        <v>1587.3</v>
      </c>
      <c r="AJ70" s="476">
        <f>_xlfn.XLOOKUP($U70,'PCA Cost Tables - READ ONLY'!$E$10:$E$172,'PCA Cost Tables - READ ONLY'!$J$10:$J$172,"BLANK",0)</f>
        <v>2380.9500000000003</v>
      </c>
      <c r="AK70" s="476">
        <f>_xlfn.XLOOKUP($U70,'PCA Cost Tables - READ ONLY'!$E$10:$E$172,'PCA Cost Tables - READ ONLY'!$L$10:$L$172,"BLANK",0)</f>
        <v>3968.2500000000005</v>
      </c>
      <c r="AL70" s="477" t="b">
        <f>IF($AE70="SF",IF($AF70="X",'Base Information Sheet'!$B$23*'Physical Condition Assessment'!$E70*'Physical Condition Assessment'!$AJ70,"-"))</f>
        <v>0</v>
      </c>
      <c r="AM70" s="477" t="b">
        <f>IF($AE70="SF",IF($AG70="X",'Base Information Sheet'!$B$23*'Physical Condition Assessment'!$E70*'Physical Condition Assessment'!$AK70,"-"))</f>
        <v>0</v>
      </c>
      <c r="AN70" s="477" t="str">
        <f>IF($AE70="Unit",IF($AF70="X",'Physical Condition Assessment'!$E70*'Physical Condition Assessment'!$AJ70,"-"))</f>
        <v>-</v>
      </c>
      <c r="AO70" s="477">
        <f>IF($AE70="Unit",IF($AG70="X",'Physical Condition Assessment'!$E70*'Physical Condition Assessment'!$AK70,"-"))</f>
        <v>0</v>
      </c>
      <c r="AP70" s="477">
        <f t="shared" si="0"/>
        <v>0</v>
      </c>
      <c r="AQ70" s="478" t="e">
        <f t="shared" si="1"/>
        <v>#DIV/0!</v>
      </c>
      <c r="AR70" s="734"/>
      <c r="AS70" s="734">
        <v>20</v>
      </c>
      <c r="AT70" s="737">
        <f ca="1">IF($AR70&gt;0,$C$5-$AR70,$C$5-'Base Information Sheet'!$B$15)</f>
        <v>2026</v>
      </c>
      <c r="AU70" s="737">
        <f>IF($AR70&gt;0,$AR70+$AS70,'Base Information Sheet'!$B$15+'Physical Condition Assessment'!$AS70)</f>
        <v>20</v>
      </c>
      <c r="AV70" s="738">
        <f ca="1">IF($N70="x",0,IF($AU70&lt;=$C$5,'Physical Condition Assessment'!$AP70,0))</f>
        <v>0</v>
      </c>
      <c r="AW70" s="738">
        <f ca="1">IF(AV70&gt;0,0,IF($N70="x",0,IF(($AU70-6)&lt;$C$5,'Physical Condition Assessment'!$AP70,0)))</f>
        <v>0</v>
      </c>
      <c r="AX70" s="738">
        <f ca="1">IF(SUM(AV70:AW70)&gt;0,0,IF($N70="x",0,IF(($AU70-11)&lt;$C$5,'Physical Condition Assessment'!$AP70,0)))</f>
        <v>0</v>
      </c>
      <c r="AY70" s="738">
        <f ca="1">IF(SUM(AV70:AX70)&gt;0,0,IF($N70="x",0,IF(($AU70-16)&lt;$C$5,'Physical Condition Assessment'!$AP70,0)))</f>
        <v>0</v>
      </c>
    </row>
    <row r="71" spans="1:51" ht="16" thickBot="1" x14ac:dyDescent="0.25">
      <c r="A71" s="755" t="s">
        <v>158</v>
      </c>
      <c r="B71" s="756" t="s">
        <v>175</v>
      </c>
      <c r="C71" s="502" t="s">
        <v>180</v>
      </c>
      <c r="D71" s="502" t="s">
        <v>186</v>
      </c>
      <c r="E71" s="730"/>
      <c r="F71" s="729"/>
      <c r="G71" s="537" t="s">
        <v>41</v>
      </c>
      <c r="H71" s="732"/>
      <c r="I71" s="537" t="s">
        <v>42</v>
      </c>
      <c r="J71" s="732"/>
      <c r="K71" s="537" t="s">
        <v>43</v>
      </c>
      <c r="L71" s="732"/>
      <c r="M71" s="537" t="s">
        <v>44</v>
      </c>
      <c r="N71" s="732"/>
      <c r="O71" s="537" t="s">
        <v>52</v>
      </c>
      <c r="P71" s="1"/>
      <c r="Q71" s="3"/>
      <c r="R71" s="783"/>
      <c r="S71" s="784">
        <f>'Physical Condition Assessment'!E71*'PCA Cost Tables - READ ONLY'!P71*'Physical Condition Assessment'!R71*'Base Information Sheet'!$B$38*'Base Information Sheet'!$B$37</f>
        <v>0</v>
      </c>
      <c r="T71" s="786"/>
      <c r="U71" t="s">
        <v>187</v>
      </c>
      <c r="V71" s="502" t="s">
        <v>85</v>
      </c>
      <c r="AE71" s="475" t="s">
        <v>51</v>
      </c>
      <c r="AF71" s="475"/>
      <c r="AG71" s="475" t="s">
        <v>72</v>
      </c>
      <c r="AH71" s="476">
        <f>_xlfn.XLOOKUP($U71,'PCA Cost Tables - READ ONLY'!$E$10:$E$172,'PCA Cost Tables - READ ONLY'!$F$10:$F$172,"BLANK",0)</f>
        <v>952.38000000000011</v>
      </c>
      <c r="AI71" s="476">
        <f>_xlfn.XLOOKUP($U71,'PCA Cost Tables - READ ONLY'!$E$10:$E$172,'PCA Cost Tables - READ ONLY'!$H$10:$H$172,"BLANK",0)</f>
        <v>1904.7600000000002</v>
      </c>
      <c r="AJ71" s="476">
        <f>_xlfn.XLOOKUP($U71,'PCA Cost Tables - READ ONLY'!$E$10:$E$172,'PCA Cost Tables - READ ONLY'!$J$10:$J$172,"BLANK",0)</f>
        <v>3174.6</v>
      </c>
      <c r="AK71" s="476">
        <f>_xlfn.XLOOKUP($U71,'PCA Cost Tables - READ ONLY'!$E$10:$E$172,'PCA Cost Tables - READ ONLY'!$L$10:$L$172,"BLANK",0)</f>
        <v>4761.9000000000005</v>
      </c>
      <c r="AL71" s="477" t="b">
        <f>IF($AE71="SF",IF($AF71="X",'Base Information Sheet'!$B$23*'Physical Condition Assessment'!$E71*'Physical Condition Assessment'!$AJ71,"-"))</f>
        <v>0</v>
      </c>
      <c r="AM71" s="477" t="b">
        <f>IF($AE71="SF",IF($AG71="X",'Base Information Sheet'!$B$23*'Physical Condition Assessment'!$E71*'Physical Condition Assessment'!$AK71,"-"))</f>
        <v>0</v>
      </c>
      <c r="AN71" s="477" t="str">
        <f>IF($AE71="Unit",IF($AF71="X",'Physical Condition Assessment'!$E71*'Physical Condition Assessment'!$AJ71,"-"))</f>
        <v>-</v>
      </c>
      <c r="AO71" s="477">
        <f>IF($AE71="Unit",IF($AG71="X",'Physical Condition Assessment'!$E71*'Physical Condition Assessment'!$AK71,"-"))</f>
        <v>0</v>
      </c>
      <c r="AP71" s="477">
        <f t="shared" si="0"/>
        <v>0</v>
      </c>
      <c r="AQ71" s="478" t="e">
        <f t="shared" si="1"/>
        <v>#DIV/0!</v>
      </c>
      <c r="AR71" s="734"/>
      <c r="AS71" s="734">
        <v>20</v>
      </c>
      <c r="AT71" s="737">
        <f ca="1">IF($AR71&gt;0,$C$5-$AR71,$C$5-'Base Information Sheet'!$B$15)</f>
        <v>2026</v>
      </c>
      <c r="AU71" s="737">
        <f>IF($AR71&gt;0,$AR71+$AS71,'Base Information Sheet'!$B$15+'Physical Condition Assessment'!$AS71)</f>
        <v>20</v>
      </c>
      <c r="AV71" s="738">
        <f ca="1">IF($N71="x",0,IF($AU71&lt;=$C$5,'Physical Condition Assessment'!$AP71,0))</f>
        <v>0</v>
      </c>
      <c r="AW71" s="738">
        <f ca="1">IF(AV71&gt;0,0,IF($N71="x",0,IF(($AU71-6)&lt;$C$5,'Physical Condition Assessment'!$AP71,0)))</f>
        <v>0</v>
      </c>
      <c r="AX71" s="738">
        <f ca="1">IF(SUM(AV71:AW71)&gt;0,0,IF($N71="x",0,IF(($AU71-11)&lt;$C$5,'Physical Condition Assessment'!$AP71,0)))</f>
        <v>0</v>
      </c>
      <c r="AY71" s="738">
        <f ca="1">IF(SUM(AV71:AX71)&gt;0,0,IF($N71="x",0,IF(($AU71-16)&lt;$C$5,'Physical Condition Assessment'!$AP71,0)))</f>
        <v>0</v>
      </c>
    </row>
    <row r="72" spans="1:51" ht="16" thickBot="1" x14ac:dyDescent="0.25">
      <c r="A72" s="755"/>
      <c r="B72" s="767" t="s">
        <v>188</v>
      </c>
      <c r="E72" s="769"/>
      <c r="R72" s="796"/>
      <c r="S72" s="503"/>
      <c r="T72" s="788"/>
      <c r="U72"/>
      <c r="AE72" s="491"/>
      <c r="AF72" s="492"/>
      <c r="AG72" s="492"/>
      <c r="AH72" s="492"/>
      <c r="AI72" s="492"/>
      <c r="AJ72" s="493"/>
      <c r="AK72" s="493"/>
      <c r="AL72" s="495"/>
      <c r="AM72" s="492"/>
      <c r="AN72" s="492"/>
      <c r="AO72" s="492"/>
      <c r="AP72" s="494"/>
      <c r="AQ72" s="494"/>
      <c r="AR72" s="747"/>
      <c r="AS72" s="747"/>
      <c r="AT72" s="748"/>
      <c r="AU72" s="749"/>
      <c r="AV72" s="749"/>
      <c r="AW72" s="749"/>
      <c r="AX72" s="749"/>
      <c r="AY72" s="750"/>
    </row>
    <row r="73" spans="1:51" ht="16" thickBot="1" x14ac:dyDescent="0.25">
      <c r="A73" s="755" t="s">
        <v>158</v>
      </c>
      <c r="B73" s="618" t="s">
        <v>188</v>
      </c>
      <c r="C73" s="502" t="s">
        <v>189</v>
      </c>
      <c r="D73" s="502" t="s">
        <v>190</v>
      </c>
      <c r="E73" s="728"/>
      <c r="F73" s="729"/>
      <c r="G73" s="537" t="s">
        <v>41</v>
      </c>
      <c r="H73" s="732"/>
      <c r="I73" s="537" t="s">
        <v>42</v>
      </c>
      <c r="J73" s="732"/>
      <c r="K73" s="537" t="s">
        <v>43</v>
      </c>
      <c r="L73" s="732"/>
      <c r="M73" s="537" t="s">
        <v>44</v>
      </c>
      <c r="N73" s="732"/>
      <c r="O73" s="537" t="s">
        <v>52</v>
      </c>
      <c r="P73" s="2"/>
      <c r="Q73" s="3" t="s">
        <v>52</v>
      </c>
      <c r="R73" s="783"/>
      <c r="S73" s="784">
        <f>'Base Information Sheet'!$B$23*'Physical Condition Assessment'!E73*'PCA Cost Tables - READ ONLY'!P73*'Physical Condition Assessment'!R73*'Base Information Sheet'!$B$38*'Base Information Sheet'!$B$37</f>
        <v>0</v>
      </c>
      <c r="T73" s="786"/>
      <c r="U73" t="s">
        <v>191</v>
      </c>
      <c r="V73" s="502" t="s">
        <v>85</v>
      </c>
      <c r="AE73" s="475" t="s">
        <v>71</v>
      </c>
      <c r="AF73" s="475"/>
      <c r="AG73" s="475" t="s">
        <v>72</v>
      </c>
      <c r="AH73" s="476">
        <f>_xlfn.XLOOKUP($U73,'PCA Cost Tables - READ ONLY'!$E$10:$E$172,'PCA Cost Tables - READ ONLY'!$F$10:$F$172,"BLANK",0)</f>
        <v>2.9339520000000006</v>
      </c>
      <c r="AI73" s="476">
        <f>_xlfn.XLOOKUP($U73,'PCA Cost Tables - READ ONLY'!$E$10:$E$172,'PCA Cost Tables - READ ONLY'!$H$10:$H$172,"BLANK",0)</f>
        <v>4.1913600000000004</v>
      </c>
      <c r="AJ73" s="476">
        <f>_xlfn.XLOOKUP($U73,'PCA Cost Tables - READ ONLY'!$E$10:$E$172,'PCA Cost Tables - READ ONLY'!$J$10:$J$172,"BLANK",0)</f>
        <v>5.1082200000000002</v>
      </c>
      <c r="AK73" s="476">
        <f>_xlfn.XLOOKUP($U73,'PCA Cost Tables - READ ONLY'!$E$10:$E$172,'PCA Cost Tables - READ ONLY'!$L$10:$L$172,"BLANK",0)</f>
        <v>5.7238260000000007</v>
      </c>
      <c r="AL73" s="477" t="str">
        <f>IF($AE73="SF",IF($AF73="X",'Base Information Sheet'!$B$23*'Physical Condition Assessment'!$E73*'Physical Condition Assessment'!$AJ73,"-"))</f>
        <v>-</v>
      </c>
      <c r="AM73" s="477">
        <f>IF($AE73="SF",IF($AG73="X",'Base Information Sheet'!$B$23*'Physical Condition Assessment'!$E73*'Physical Condition Assessment'!$AK73,"-"))</f>
        <v>0</v>
      </c>
      <c r="AN73" s="477" t="b">
        <f>IF($AE73="Unit",IF($AF73="X",'Physical Condition Assessment'!$E73*'Physical Condition Assessment'!$AJ73,"-"))</f>
        <v>0</v>
      </c>
      <c r="AO73" s="477" t="b">
        <f>IF($AE73="Unit",IF($AG73="X",'Physical Condition Assessment'!$E73*'Physical Condition Assessment'!$AK73,"-"))</f>
        <v>0</v>
      </c>
      <c r="AP73" s="477">
        <f t="shared" si="0"/>
        <v>0</v>
      </c>
      <c r="AQ73" s="478" t="e">
        <f t="shared" si="1"/>
        <v>#DIV/0!</v>
      </c>
      <c r="AR73" s="734"/>
      <c r="AS73" s="734">
        <v>50</v>
      </c>
      <c r="AT73" s="737">
        <f ca="1">IF($AR73&gt;0,$C$5-$AR73,$C$5-'Base Information Sheet'!$B$15)</f>
        <v>2026</v>
      </c>
      <c r="AU73" s="737">
        <f>IF($AR73&gt;0,$AR73+$AS73,'Base Information Sheet'!$B$15+'Physical Condition Assessment'!$AS73)</f>
        <v>50</v>
      </c>
      <c r="AV73" s="738">
        <f ca="1">IF($N73="x",0,IF($AU73&lt;=$C$5,'Physical Condition Assessment'!$AP73,0))</f>
        <v>0</v>
      </c>
      <c r="AW73" s="738">
        <f ca="1">IF(AV73&gt;0,0,IF($N73="x",0,IF(($AU73-6)&lt;$C$5,'Physical Condition Assessment'!$AP73,0)))</f>
        <v>0</v>
      </c>
      <c r="AX73" s="738">
        <f ca="1">IF(SUM(AV73:AW73)&gt;0,0,IF($N73="x",0,IF(($AU73-11)&lt;$C$5,'Physical Condition Assessment'!$AP73,0)))</f>
        <v>0</v>
      </c>
      <c r="AY73" s="738">
        <f ca="1">IF(SUM(AV73:AX73)&gt;0,0,IF($N73="x",0,IF(($AU73-16)&lt;$C$5,'Physical Condition Assessment'!$AP73,0)))</f>
        <v>0</v>
      </c>
    </row>
    <row r="74" spans="1:51" ht="16" thickBot="1" x14ac:dyDescent="0.25">
      <c r="A74" s="755" t="s">
        <v>158</v>
      </c>
      <c r="B74" s="756" t="s">
        <v>188</v>
      </c>
      <c r="C74" s="502" t="s">
        <v>189</v>
      </c>
      <c r="D74" s="502" t="s">
        <v>192</v>
      </c>
      <c r="E74" s="728"/>
      <c r="F74" s="729"/>
      <c r="G74" s="537" t="s">
        <v>41</v>
      </c>
      <c r="H74" s="732"/>
      <c r="I74" s="537" t="s">
        <v>42</v>
      </c>
      <c r="J74" s="732"/>
      <c r="K74" s="537" t="s">
        <v>43</v>
      </c>
      <c r="L74" s="732"/>
      <c r="M74" s="537" t="s">
        <v>44</v>
      </c>
      <c r="N74" s="732"/>
      <c r="O74" s="537" t="s">
        <v>52</v>
      </c>
      <c r="P74" s="2"/>
      <c r="Q74" s="3" t="s">
        <v>52</v>
      </c>
      <c r="R74" s="783"/>
      <c r="S74" s="784">
        <f>'Base Information Sheet'!$B$23*'Physical Condition Assessment'!E74*'PCA Cost Tables - READ ONLY'!P74*'Physical Condition Assessment'!R74*'Base Information Sheet'!$B$38*'Base Information Sheet'!$B$37</f>
        <v>0</v>
      </c>
      <c r="T74" s="786"/>
      <c r="U74" t="s">
        <v>193</v>
      </c>
      <c r="V74" s="502" t="s">
        <v>85</v>
      </c>
      <c r="AE74" s="475" t="s">
        <v>71</v>
      </c>
      <c r="AF74" s="475"/>
      <c r="AG74" s="475" t="s">
        <v>72</v>
      </c>
      <c r="AH74" s="476">
        <f>_xlfn.XLOOKUP($U74,'PCA Cost Tables - READ ONLY'!$E$10:$E$172,'PCA Cost Tables - READ ONLY'!$F$10:$F$172,"BLANK",0)</f>
        <v>2.6457960000000003</v>
      </c>
      <c r="AI74" s="476">
        <f>_xlfn.XLOOKUP($U74,'PCA Cost Tables - READ ONLY'!$E$10:$E$172,'PCA Cost Tables - READ ONLY'!$H$10:$H$172,"BLANK",0)</f>
        <v>3.2221080000000004</v>
      </c>
      <c r="AJ74" s="476">
        <f>_xlfn.XLOOKUP($U74,'PCA Cost Tables - READ ONLY'!$E$10:$E$172,'PCA Cost Tables - READ ONLY'!$J$10:$J$172,"BLANK",0)</f>
        <v>6.8764500000000002</v>
      </c>
      <c r="AK74" s="476">
        <f>_xlfn.XLOOKUP($U74,'PCA Cost Tables - READ ONLY'!$E$10:$E$172,'PCA Cost Tables - READ ONLY'!$L$10:$L$172,"BLANK",0)</f>
        <v>10.556988000000002</v>
      </c>
      <c r="AL74" s="477" t="str">
        <f>IF($AE74="SF",IF($AF74="X",'Base Information Sheet'!$B$23*'Physical Condition Assessment'!$E74*'Physical Condition Assessment'!$AJ74,"-"))</f>
        <v>-</v>
      </c>
      <c r="AM74" s="477">
        <f>IF($AE74="SF",IF($AG74="X",'Base Information Sheet'!$B$23*'Physical Condition Assessment'!$E74*'Physical Condition Assessment'!$AK74,"-"))</f>
        <v>0</v>
      </c>
      <c r="AN74" s="477" t="b">
        <f>IF($AE74="Unit",IF($AF74="X",'Physical Condition Assessment'!$E74*'Physical Condition Assessment'!$AJ74,"-"))</f>
        <v>0</v>
      </c>
      <c r="AO74" s="477" t="b">
        <f>IF($AE74="Unit",IF($AG74="X",'Physical Condition Assessment'!$E74*'Physical Condition Assessment'!$AK74,"-"))</f>
        <v>0</v>
      </c>
      <c r="AP74" s="477">
        <f t="shared" si="0"/>
        <v>0</v>
      </c>
      <c r="AQ74" s="478" t="e">
        <f t="shared" si="1"/>
        <v>#DIV/0!</v>
      </c>
      <c r="AR74" s="734"/>
      <c r="AS74" s="734">
        <v>50</v>
      </c>
      <c r="AT74" s="737">
        <f ca="1">IF($AR74&gt;0,$C$5-$AR74,$C$5-'Base Information Sheet'!$B$15)</f>
        <v>2026</v>
      </c>
      <c r="AU74" s="737">
        <f>IF($AR74&gt;0,$AR74+$AS74,'Base Information Sheet'!$B$15+'Physical Condition Assessment'!$AS74)</f>
        <v>50</v>
      </c>
      <c r="AV74" s="738">
        <f ca="1">IF($N74="x",0,IF($AU74&lt;=$C$5,'Physical Condition Assessment'!$AP74,0))</f>
        <v>0</v>
      </c>
      <c r="AW74" s="738">
        <f ca="1">IF(AV74&gt;0,0,IF($N74="x",0,IF(($AU74-6)&lt;$C$5,'Physical Condition Assessment'!$AP74,0)))</f>
        <v>0</v>
      </c>
      <c r="AX74" s="738">
        <f ca="1">IF(SUM(AV74:AW74)&gt;0,0,IF($N74="x",0,IF(($AU74-11)&lt;$C$5,'Physical Condition Assessment'!$AP74,0)))</f>
        <v>0</v>
      </c>
      <c r="AY74" s="738">
        <f ca="1">IF(SUM(AV74:AX74)&gt;0,0,IF($N74="x",0,IF(($AU74-16)&lt;$C$5,'Physical Condition Assessment'!$AP74,0)))</f>
        <v>0</v>
      </c>
    </row>
    <row r="75" spans="1:51" ht="16" thickBot="1" x14ac:dyDescent="0.25">
      <c r="A75" s="755" t="s">
        <v>158</v>
      </c>
      <c r="B75" s="756" t="s">
        <v>188</v>
      </c>
      <c r="C75" s="502" t="s">
        <v>189</v>
      </c>
      <c r="D75" s="502" t="s">
        <v>194</v>
      </c>
      <c r="E75" s="728"/>
      <c r="F75" s="729"/>
      <c r="G75" s="537" t="s">
        <v>41</v>
      </c>
      <c r="H75" s="732"/>
      <c r="I75" s="537" t="s">
        <v>42</v>
      </c>
      <c r="J75" s="732"/>
      <c r="K75" s="537" t="s">
        <v>43</v>
      </c>
      <c r="L75" s="732"/>
      <c r="M75" s="537" t="s">
        <v>44</v>
      </c>
      <c r="N75" s="732"/>
      <c r="O75" s="537" t="s">
        <v>52</v>
      </c>
      <c r="P75" s="2"/>
      <c r="Q75" s="3" t="s">
        <v>52</v>
      </c>
      <c r="R75" s="783"/>
      <c r="S75" s="784">
        <f>'Base Information Sheet'!$B$23*'Physical Condition Assessment'!E75*'PCA Cost Tables - READ ONLY'!P75*'Physical Condition Assessment'!R75*'Base Information Sheet'!$B$38*'Base Information Sheet'!$B$37</f>
        <v>0</v>
      </c>
      <c r="T75" s="786"/>
      <c r="U75" t="s">
        <v>195</v>
      </c>
      <c r="V75" s="502" t="s">
        <v>85</v>
      </c>
      <c r="AE75" s="475" t="s">
        <v>71</v>
      </c>
      <c r="AF75" s="475"/>
      <c r="AG75" s="475" t="s">
        <v>72</v>
      </c>
      <c r="AH75" s="476">
        <f>_xlfn.XLOOKUP($U75,'PCA Cost Tables - READ ONLY'!$E$10:$E$172,'PCA Cost Tables - READ ONLY'!$F$10:$F$172,"BLANK",0)</f>
        <v>2.6457960000000003</v>
      </c>
      <c r="AI75" s="476">
        <f>_xlfn.XLOOKUP($U75,'PCA Cost Tables - READ ONLY'!$E$10:$E$172,'PCA Cost Tables - READ ONLY'!$H$10:$H$172,"BLANK",0)</f>
        <v>3.5364600000000004</v>
      </c>
      <c r="AJ75" s="476">
        <f>_xlfn.XLOOKUP($U75,'PCA Cost Tables - READ ONLY'!$E$10:$E$172,'PCA Cost Tables - READ ONLY'!$J$10:$J$172,"BLANK",0)</f>
        <v>7.0729200000000008</v>
      </c>
      <c r="AK75" s="476">
        <f>_xlfn.XLOOKUP($U75,'PCA Cost Tables - READ ONLY'!$E$10:$E$172,'PCA Cost Tables - READ ONLY'!$L$10:$L$172,"BLANK",0)</f>
        <v>11.1333</v>
      </c>
      <c r="AL75" s="477" t="str">
        <f>IF($AE75="SF",IF($AF75="X",'Base Information Sheet'!$B$23*'Physical Condition Assessment'!$E75*'Physical Condition Assessment'!$AJ75,"-"))</f>
        <v>-</v>
      </c>
      <c r="AM75" s="477">
        <f>IF($AE75="SF",IF($AG75="X",'Base Information Sheet'!$B$23*'Physical Condition Assessment'!$E75*'Physical Condition Assessment'!$AK75,"-"))</f>
        <v>0</v>
      </c>
      <c r="AN75" s="477" t="b">
        <f>IF($AE75="Unit",IF($AF75="X",'Physical Condition Assessment'!$E75*'Physical Condition Assessment'!$AJ75,"-"))</f>
        <v>0</v>
      </c>
      <c r="AO75" s="477" t="b">
        <f>IF($AE75="Unit",IF($AG75="X",'Physical Condition Assessment'!$E75*'Physical Condition Assessment'!$AK75,"-"))</f>
        <v>0</v>
      </c>
      <c r="AP75" s="477">
        <f t="shared" ref="AP75:AP138" si="2">SUMIF(AL75:AO75,"&gt;0",AL75:AO75)*$AK$2*$AK$3</f>
        <v>0</v>
      </c>
      <c r="AQ75" s="478" t="e">
        <f t="shared" ref="AQ75:AQ138" si="3">S75/AP75</f>
        <v>#DIV/0!</v>
      </c>
      <c r="AR75" s="734"/>
      <c r="AS75" s="734">
        <v>50</v>
      </c>
      <c r="AT75" s="737">
        <f ca="1">IF($AR75&gt;0,$C$5-$AR75,$C$5-'Base Information Sheet'!$B$15)</f>
        <v>2026</v>
      </c>
      <c r="AU75" s="737">
        <f>IF($AR75&gt;0,$AR75+$AS75,'Base Information Sheet'!$B$15+'Physical Condition Assessment'!$AS75)</f>
        <v>50</v>
      </c>
      <c r="AV75" s="738">
        <f ca="1">IF($N75="x",0,IF($AU75&lt;=$C$5,'Physical Condition Assessment'!$AP75,0))</f>
        <v>0</v>
      </c>
      <c r="AW75" s="738">
        <f ca="1">IF(AV75&gt;0,0,IF($N75="x",0,IF(($AU75-6)&lt;$C$5,'Physical Condition Assessment'!$AP75,0)))</f>
        <v>0</v>
      </c>
      <c r="AX75" s="738">
        <f ca="1">IF(SUM(AV75:AW75)&gt;0,0,IF($N75="x",0,IF(($AU75-11)&lt;$C$5,'Physical Condition Assessment'!$AP75,0)))</f>
        <v>0</v>
      </c>
      <c r="AY75" s="738">
        <f ca="1">IF(SUM(AV75:AX75)&gt;0,0,IF($N75="x",0,IF(($AU75-16)&lt;$C$5,'Physical Condition Assessment'!$AP75,0)))</f>
        <v>0</v>
      </c>
    </row>
    <row r="76" spans="1:51" ht="16" thickBot="1" x14ac:dyDescent="0.25">
      <c r="A76" s="755" t="s">
        <v>158</v>
      </c>
      <c r="B76" s="756" t="s">
        <v>188</v>
      </c>
      <c r="C76" s="502" t="s">
        <v>189</v>
      </c>
      <c r="D76" s="502" t="s">
        <v>196</v>
      </c>
      <c r="E76" s="728"/>
      <c r="F76" s="729"/>
      <c r="G76" s="537" t="s">
        <v>41</v>
      </c>
      <c r="H76" s="732"/>
      <c r="I76" s="537" t="s">
        <v>42</v>
      </c>
      <c r="J76" s="732"/>
      <c r="K76" s="537" t="s">
        <v>43</v>
      </c>
      <c r="L76" s="732"/>
      <c r="M76" s="537" t="s">
        <v>44</v>
      </c>
      <c r="N76" s="732"/>
      <c r="O76" s="537" t="s">
        <v>52</v>
      </c>
      <c r="P76" s="2"/>
      <c r="Q76" s="3" t="s">
        <v>52</v>
      </c>
      <c r="R76" s="783"/>
      <c r="S76" s="784">
        <f>'Base Information Sheet'!$B$23*'Physical Condition Assessment'!E76*'PCA Cost Tables - READ ONLY'!P76*'Physical Condition Assessment'!R76*'Base Information Sheet'!$B$38*'Base Information Sheet'!$B$37</f>
        <v>0</v>
      </c>
      <c r="T76" s="786"/>
      <c r="U76" t="s">
        <v>197</v>
      </c>
      <c r="V76" s="502" t="s">
        <v>85</v>
      </c>
      <c r="AE76" s="475" t="s">
        <v>71</v>
      </c>
      <c r="AF76" s="475"/>
      <c r="AG76" s="475" t="s">
        <v>72</v>
      </c>
      <c r="AH76" s="476">
        <f>_xlfn.XLOOKUP($U76,'PCA Cost Tables - READ ONLY'!$E$10:$E$172,'PCA Cost Tables - READ ONLY'!$F$10:$F$172,"BLANK",0)</f>
        <v>3.2063460000000004</v>
      </c>
      <c r="AI76" s="476">
        <f>_xlfn.XLOOKUP($U76,'PCA Cost Tables - READ ONLY'!$E$10:$E$172,'PCA Cost Tables - READ ONLY'!$H$10:$H$172,"BLANK",0)</f>
        <v>11.904750000000002</v>
      </c>
      <c r="AJ76" s="476">
        <f>_xlfn.XLOOKUP($U76,'PCA Cost Tables - READ ONLY'!$E$10:$E$172,'PCA Cost Tables - READ ONLY'!$J$10:$J$172,"BLANK",0)</f>
        <v>15.873000000000001</v>
      </c>
      <c r="AK76" s="476">
        <f>_xlfn.XLOOKUP($U76,'PCA Cost Tables - READ ONLY'!$E$10:$E$172,'PCA Cost Tables - READ ONLY'!$L$10:$L$172,"BLANK",0)</f>
        <v>23.809500000000003</v>
      </c>
      <c r="AL76" s="477" t="str">
        <f>IF($AE76="SF",IF($AF76="X",'Base Information Sheet'!$B$23*'Physical Condition Assessment'!$E76*'Physical Condition Assessment'!$AJ76,"-"))</f>
        <v>-</v>
      </c>
      <c r="AM76" s="477">
        <f>IF($AE76="SF",IF($AG76="X",'Base Information Sheet'!$B$23*'Physical Condition Assessment'!$E76*'Physical Condition Assessment'!$AK76,"-"))</f>
        <v>0</v>
      </c>
      <c r="AN76" s="477" t="b">
        <f>IF($AE76="Unit",IF($AF76="X",'Physical Condition Assessment'!$E76*'Physical Condition Assessment'!$AJ76,"-"))</f>
        <v>0</v>
      </c>
      <c r="AO76" s="477" t="b">
        <f>IF($AE76="Unit",IF($AG76="X",'Physical Condition Assessment'!$E76*'Physical Condition Assessment'!$AK76,"-"))</f>
        <v>0</v>
      </c>
      <c r="AP76" s="477">
        <f t="shared" si="2"/>
        <v>0</v>
      </c>
      <c r="AQ76" s="478" t="e">
        <f t="shared" si="3"/>
        <v>#DIV/0!</v>
      </c>
      <c r="AR76" s="734"/>
      <c r="AS76" s="734">
        <v>50</v>
      </c>
      <c r="AT76" s="737">
        <f ca="1">IF($AR76&gt;0,$C$5-$AR76,$C$5-'Base Information Sheet'!$B$15)</f>
        <v>2026</v>
      </c>
      <c r="AU76" s="737">
        <f>IF($AR76&gt;0,$AR76+$AS76,'Base Information Sheet'!$B$15+'Physical Condition Assessment'!$AS76)</f>
        <v>50</v>
      </c>
      <c r="AV76" s="738">
        <f ca="1">IF($N76="x",0,IF($AU76&lt;=$C$5,'Physical Condition Assessment'!$AP76,0))</f>
        <v>0</v>
      </c>
      <c r="AW76" s="738">
        <f ca="1">IF(AV76&gt;0,0,IF($N76="x",0,IF(($AU76-6)&lt;$C$5,'Physical Condition Assessment'!$AP76,0)))</f>
        <v>0</v>
      </c>
      <c r="AX76" s="738">
        <f ca="1">IF(SUM(AV76:AW76)&gt;0,0,IF($N76="x",0,IF(($AU76-11)&lt;$C$5,'Physical Condition Assessment'!$AP76,0)))</f>
        <v>0</v>
      </c>
      <c r="AY76" s="738">
        <f ca="1">IF(SUM(AV76:AX76)&gt;0,0,IF($N76="x",0,IF(($AU76-16)&lt;$C$5,'Physical Condition Assessment'!$AP76,0)))</f>
        <v>0</v>
      </c>
    </row>
    <row r="77" spans="1:51" ht="16" thickBot="1" x14ac:dyDescent="0.25">
      <c r="A77" s="755" t="s">
        <v>158</v>
      </c>
      <c r="B77" s="756" t="s">
        <v>188</v>
      </c>
      <c r="C77" s="502" t="s">
        <v>189</v>
      </c>
      <c r="D77" s="502" t="s">
        <v>198</v>
      </c>
      <c r="E77" s="728"/>
      <c r="F77" s="729"/>
      <c r="G77" s="537" t="s">
        <v>41</v>
      </c>
      <c r="H77" s="732"/>
      <c r="I77" s="537" t="s">
        <v>42</v>
      </c>
      <c r="J77" s="732"/>
      <c r="K77" s="537" t="s">
        <v>43</v>
      </c>
      <c r="L77" s="732"/>
      <c r="M77" s="537" t="s">
        <v>44</v>
      </c>
      <c r="N77" s="732"/>
      <c r="O77" s="537" t="s">
        <v>52</v>
      </c>
      <c r="P77" s="2"/>
      <c r="Q77" s="3"/>
      <c r="R77" s="783"/>
      <c r="S77" s="784">
        <f>'Base Information Sheet'!$B$23*'Physical Condition Assessment'!E77*'PCA Cost Tables - READ ONLY'!P77*'Physical Condition Assessment'!R77*'Base Information Sheet'!$B$38*'Base Information Sheet'!$B$37</f>
        <v>0</v>
      </c>
      <c r="T77" s="786"/>
      <c r="U77" t="s">
        <v>199</v>
      </c>
      <c r="V77" s="502" t="s">
        <v>85</v>
      </c>
      <c r="AE77" s="475" t="s">
        <v>71</v>
      </c>
      <c r="AF77" s="475"/>
      <c r="AG77" s="475" t="s">
        <v>72</v>
      </c>
      <c r="AH77" s="476">
        <f>_xlfn.XLOOKUP($U77,'PCA Cost Tables - READ ONLY'!$E$10:$E$172,'PCA Cost Tables - READ ONLY'!$F$10:$F$172,"BLANK",0)</f>
        <v>2.6457960000000003</v>
      </c>
      <c r="AI77" s="476">
        <f>_xlfn.XLOOKUP($U77,'PCA Cost Tables - READ ONLY'!$E$10:$E$172,'PCA Cost Tables - READ ONLY'!$H$10:$H$172,"BLANK",0)</f>
        <v>9.6270299999999995</v>
      </c>
      <c r="AJ77" s="476">
        <f>_xlfn.XLOOKUP($U77,'PCA Cost Tables - READ ONLY'!$E$10:$E$172,'PCA Cost Tables - READ ONLY'!$J$10:$J$172,"BLANK",0)</f>
        <v>12.770550000000002</v>
      </c>
      <c r="AK77" s="476">
        <f>_xlfn.XLOOKUP($U77,'PCA Cost Tables - READ ONLY'!$E$10:$E$172,'PCA Cost Tables - READ ONLY'!$L$10:$L$172,"BLANK",0)</f>
        <v>15.717599999999999</v>
      </c>
      <c r="AL77" s="477" t="str">
        <f>IF($AE77="SF",IF($AF77="X",'Base Information Sheet'!$B$23*'Physical Condition Assessment'!$E77*'Physical Condition Assessment'!$AJ77,"-"))</f>
        <v>-</v>
      </c>
      <c r="AM77" s="477">
        <f>IF($AE77="SF",IF($AG77="X",'Base Information Sheet'!$B$23*'Physical Condition Assessment'!$E77*'Physical Condition Assessment'!$AK77,"-"))</f>
        <v>0</v>
      </c>
      <c r="AN77" s="477" t="b">
        <f>IF($AE77="Unit",IF($AF77="X",'Physical Condition Assessment'!$E77*'Physical Condition Assessment'!$AJ77,"-"))</f>
        <v>0</v>
      </c>
      <c r="AO77" s="477" t="b">
        <f>IF($AE77="Unit",IF($AG77="X",'Physical Condition Assessment'!$E77*'Physical Condition Assessment'!$AK77,"-"))</f>
        <v>0</v>
      </c>
      <c r="AP77" s="477">
        <f t="shared" si="2"/>
        <v>0</v>
      </c>
      <c r="AQ77" s="478" t="e">
        <f t="shared" si="3"/>
        <v>#DIV/0!</v>
      </c>
      <c r="AR77" s="734"/>
      <c r="AS77" s="734">
        <v>50</v>
      </c>
      <c r="AT77" s="737">
        <f ca="1">IF($AR77&gt;0,$C$5-$AR77,$C$5-'Base Information Sheet'!$B$15)</f>
        <v>2026</v>
      </c>
      <c r="AU77" s="737">
        <f>IF($AR77&gt;0,$AR77+$AS77,'Base Information Sheet'!$B$15+'Physical Condition Assessment'!$AS77)</f>
        <v>50</v>
      </c>
      <c r="AV77" s="738">
        <f ca="1">IF($N77="x",0,IF($AU77&lt;=$C$5,'Physical Condition Assessment'!$AP77,0))</f>
        <v>0</v>
      </c>
      <c r="AW77" s="738">
        <f ca="1">IF(AV77&gt;0,0,IF($N77="x",0,IF(($AU77-6)&lt;$C$5,'Physical Condition Assessment'!$AP77,0)))</f>
        <v>0</v>
      </c>
      <c r="AX77" s="738">
        <f ca="1">IF(SUM(AV77:AW77)&gt;0,0,IF($N77="x",0,IF(($AU77-11)&lt;$C$5,'Physical Condition Assessment'!$AP77,0)))</f>
        <v>0</v>
      </c>
      <c r="AY77" s="738">
        <f ca="1">IF(SUM(AV77:AX77)&gt;0,0,IF($N77="x",0,IF(($AU77-16)&lt;$C$5,'Physical Condition Assessment'!$AP77,0)))</f>
        <v>0</v>
      </c>
    </row>
    <row r="78" spans="1:51" ht="16" thickBot="1" x14ac:dyDescent="0.25">
      <c r="A78" s="755" t="s">
        <v>158</v>
      </c>
      <c r="B78" s="756" t="s">
        <v>188</v>
      </c>
      <c r="C78" s="502" t="s">
        <v>189</v>
      </c>
      <c r="D78" s="502" t="s">
        <v>200</v>
      </c>
      <c r="E78" s="728"/>
      <c r="F78" s="729"/>
      <c r="G78" s="537" t="s">
        <v>41</v>
      </c>
      <c r="H78" s="732"/>
      <c r="I78" s="537" t="s">
        <v>42</v>
      </c>
      <c r="J78" s="732"/>
      <c r="K78" s="537" t="s">
        <v>43</v>
      </c>
      <c r="L78" s="732"/>
      <c r="M78" s="537" t="s">
        <v>44</v>
      </c>
      <c r="N78" s="732"/>
      <c r="O78" s="537" t="s">
        <v>52</v>
      </c>
      <c r="P78" s="2"/>
      <c r="Q78" s="3"/>
      <c r="R78" s="783"/>
      <c r="S78" s="784">
        <f>'Base Information Sheet'!$B$23*'Physical Condition Assessment'!E78*'PCA Cost Tables - READ ONLY'!P78*'Physical Condition Assessment'!R78*'Base Information Sheet'!$B$38*'Base Information Sheet'!$B$37</f>
        <v>0</v>
      </c>
      <c r="T78" s="786"/>
      <c r="U78" t="s">
        <v>201</v>
      </c>
      <c r="V78" s="502" t="s">
        <v>85</v>
      </c>
      <c r="AE78" s="475" t="s">
        <v>71</v>
      </c>
      <c r="AF78" s="475"/>
      <c r="AG78" s="475" t="s">
        <v>72</v>
      </c>
      <c r="AH78" s="476">
        <f>_xlfn.XLOOKUP($U78,'PCA Cost Tables - READ ONLY'!$E$10:$E$172,'PCA Cost Tables - READ ONLY'!$F$10:$F$172,"BLANK",0)</f>
        <v>3.4965000000000006</v>
      </c>
      <c r="AI78" s="476">
        <f>_xlfn.XLOOKUP($U78,'PCA Cost Tables - READ ONLY'!$E$10:$E$172,'PCA Cost Tables - READ ONLY'!$H$10:$H$172,"BLANK",0)</f>
        <v>10.839150000000002</v>
      </c>
      <c r="AJ78" s="476">
        <f>_xlfn.XLOOKUP($U78,'PCA Cost Tables - READ ONLY'!$E$10:$E$172,'PCA Cost Tables - READ ONLY'!$J$10:$J$172,"BLANK",0)</f>
        <v>13.986000000000002</v>
      </c>
      <c r="AK78" s="476">
        <f>_xlfn.XLOOKUP($U78,'PCA Cost Tables - READ ONLY'!$E$10:$E$172,'PCA Cost Tables - READ ONLY'!$L$10:$L$172,"BLANK",0)</f>
        <v>20.979000000000003</v>
      </c>
      <c r="AL78" s="477" t="str">
        <f>IF($AE78="SF",IF($AF78="X",'Base Information Sheet'!$B$23*'Physical Condition Assessment'!$E78*'Physical Condition Assessment'!$AJ78,"-"))</f>
        <v>-</v>
      </c>
      <c r="AM78" s="477">
        <f>IF($AE78="SF",IF($AG78="X",'Base Information Sheet'!$B$23*'Physical Condition Assessment'!$E78*'Physical Condition Assessment'!$AK78,"-"))</f>
        <v>0</v>
      </c>
      <c r="AN78" s="477" t="b">
        <f>IF($AE78="Unit",IF($AF78="X",'Physical Condition Assessment'!$E78*'Physical Condition Assessment'!$AJ78,"-"))</f>
        <v>0</v>
      </c>
      <c r="AO78" s="477" t="b">
        <f>IF($AE78="Unit",IF($AG78="X",'Physical Condition Assessment'!$E78*'Physical Condition Assessment'!$AK78,"-"))</f>
        <v>0</v>
      </c>
      <c r="AP78" s="477">
        <f t="shared" si="2"/>
        <v>0</v>
      </c>
      <c r="AQ78" s="478" t="e">
        <f t="shared" si="3"/>
        <v>#DIV/0!</v>
      </c>
      <c r="AR78" s="734"/>
      <c r="AS78" s="734">
        <v>50</v>
      </c>
      <c r="AT78" s="737">
        <f ca="1">IF($AR78&gt;0,$C$5-$AR78,$C$5-'Base Information Sheet'!$B$15)</f>
        <v>2026</v>
      </c>
      <c r="AU78" s="737">
        <f>IF($AR78&gt;0,$AR78+$AS78,'Base Information Sheet'!$B$15+'Physical Condition Assessment'!$AS78)</f>
        <v>50</v>
      </c>
      <c r="AV78" s="738">
        <f ca="1">IF($N78="x",0,IF($AU78&lt;=$C$5,'Physical Condition Assessment'!$AP78,0))</f>
        <v>0</v>
      </c>
      <c r="AW78" s="738">
        <f ca="1">IF(AV78&gt;0,0,IF($N78="x",0,IF(($AU78-6)&lt;$C$5,'Physical Condition Assessment'!$AP78,0)))</f>
        <v>0</v>
      </c>
      <c r="AX78" s="738">
        <f ca="1">IF(SUM(AV78:AW78)&gt;0,0,IF($N78="x",0,IF(($AU78-11)&lt;$C$5,'Physical Condition Assessment'!$AP78,0)))</f>
        <v>0</v>
      </c>
      <c r="AY78" s="738">
        <f ca="1">IF(SUM(AV78:AX78)&gt;0,0,IF($N78="x",0,IF(($AU78-16)&lt;$C$5,'Physical Condition Assessment'!$AP78,0)))</f>
        <v>0</v>
      </c>
    </row>
    <row r="79" spans="1:51" ht="16" thickBot="1" x14ac:dyDescent="0.25">
      <c r="A79" s="755" t="s">
        <v>158</v>
      </c>
      <c r="B79" s="756" t="s">
        <v>188</v>
      </c>
      <c r="C79" s="502" t="s">
        <v>189</v>
      </c>
      <c r="D79" s="502" t="s">
        <v>202</v>
      </c>
      <c r="E79" s="728"/>
      <c r="F79" s="729"/>
      <c r="G79" s="537" t="s">
        <v>41</v>
      </c>
      <c r="H79" s="732"/>
      <c r="I79" s="537" t="s">
        <v>42</v>
      </c>
      <c r="J79" s="732"/>
      <c r="K79" s="537" t="s">
        <v>43</v>
      </c>
      <c r="L79" s="732"/>
      <c r="M79" s="537" t="s">
        <v>44</v>
      </c>
      <c r="N79" s="732"/>
      <c r="O79" s="537" t="s">
        <v>52</v>
      </c>
      <c r="P79" s="2"/>
      <c r="Q79" s="3"/>
      <c r="R79" s="783"/>
      <c r="S79" s="784">
        <f>'Base Information Sheet'!$B$23*'Physical Condition Assessment'!E79*'PCA Cost Tables - READ ONLY'!P79*'Physical Condition Assessment'!R79*'Base Information Sheet'!$B$38*'Base Information Sheet'!$B$37</f>
        <v>0</v>
      </c>
      <c r="T79" s="786"/>
      <c r="U79" t="s">
        <v>203</v>
      </c>
      <c r="V79" s="502" t="s">
        <v>85</v>
      </c>
      <c r="AE79" s="475" t="s">
        <v>71</v>
      </c>
      <c r="AF79" s="475"/>
      <c r="AG79" s="475" t="s">
        <v>72</v>
      </c>
      <c r="AH79" s="476">
        <f>_xlfn.XLOOKUP($U79,'PCA Cost Tables - READ ONLY'!$E$10:$E$172,'PCA Cost Tables - READ ONLY'!$F$10:$F$172,"BLANK",0)</f>
        <v>1.17882</v>
      </c>
      <c r="AI79" s="476">
        <f>_xlfn.XLOOKUP($U79,'PCA Cost Tables - READ ONLY'!$E$10:$E$172,'PCA Cost Tables - READ ONLY'!$H$10:$H$172,"BLANK",0)</f>
        <v>1.57176</v>
      </c>
      <c r="AJ79" s="476">
        <f>_xlfn.XLOOKUP($U79,'PCA Cost Tables - READ ONLY'!$E$10:$E$172,'PCA Cost Tables - READ ONLY'!$J$10:$J$172,"BLANK",0)</f>
        <v>2.6196000000000002</v>
      </c>
      <c r="AK79" s="476">
        <f>_xlfn.XLOOKUP($U79,'PCA Cost Tables - READ ONLY'!$E$10:$E$172,'PCA Cost Tables - READ ONLY'!$L$10:$L$172,"BLANK",0)</f>
        <v>3.182814</v>
      </c>
      <c r="AL79" s="477" t="str">
        <f>IF($AE79="SF",IF($AF79="X",'Base Information Sheet'!$B$23*'Physical Condition Assessment'!$E79*'Physical Condition Assessment'!$AJ79,"-"))</f>
        <v>-</v>
      </c>
      <c r="AM79" s="477">
        <f>IF($AE79="SF",IF($AG79="X",'Base Information Sheet'!$B$23*'Physical Condition Assessment'!$E79*'Physical Condition Assessment'!$AK79,"-"))</f>
        <v>0</v>
      </c>
      <c r="AN79" s="477" t="b">
        <f>IF($AE79="Unit",IF($AF79="X",'Physical Condition Assessment'!$E79*'Physical Condition Assessment'!$AJ79,"-"))</f>
        <v>0</v>
      </c>
      <c r="AO79" s="477" t="b">
        <f>IF($AE79="Unit",IF($AG79="X",'Physical Condition Assessment'!$E79*'Physical Condition Assessment'!$AK79,"-"))</f>
        <v>0</v>
      </c>
      <c r="AP79" s="477">
        <f t="shared" si="2"/>
        <v>0</v>
      </c>
      <c r="AQ79" s="478" t="e">
        <f t="shared" si="3"/>
        <v>#DIV/0!</v>
      </c>
      <c r="AR79" s="734"/>
      <c r="AS79" s="734">
        <v>50</v>
      </c>
      <c r="AT79" s="737">
        <f ca="1">IF($AR79&gt;0,$C$5-$AR79,$C$5-'Base Information Sheet'!$B$15)</f>
        <v>2026</v>
      </c>
      <c r="AU79" s="737">
        <f>IF($AR79&gt;0,$AR79+$AS79,'Base Information Sheet'!$B$15+'Physical Condition Assessment'!$AS79)</f>
        <v>50</v>
      </c>
      <c r="AV79" s="738">
        <f ca="1">IF($N79="x",0,IF($AU79&lt;=$C$5,'Physical Condition Assessment'!$AP79,0))</f>
        <v>0</v>
      </c>
      <c r="AW79" s="738">
        <f ca="1">IF(AV79&gt;0,0,IF($N79="x",0,IF(($AU79-6)&lt;$C$5,'Physical Condition Assessment'!$AP79,0)))</f>
        <v>0</v>
      </c>
      <c r="AX79" s="738">
        <f ca="1">IF(SUM(AV79:AW79)&gt;0,0,IF($N79="x",0,IF(($AU79-11)&lt;$C$5,'Physical Condition Assessment'!$AP79,0)))</f>
        <v>0</v>
      </c>
      <c r="AY79" s="738">
        <f ca="1">IF(SUM(AV79:AX79)&gt;0,0,IF($N79="x",0,IF(($AU79-16)&lt;$C$5,'Physical Condition Assessment'!$AP79,0)))</f>
        <v>0</v>
      </c>
    </row>
    <row r="80" spans="1:51" ht="16" thickBot="1" x14ac:dyDescent="0.25">
      <c r="A80" s="755" t="s">
        <v>158</v>
      </c>
      <c r="B80" s="756" t="s">
        <v>188</v>
      </c>
      <c r="C80" s="502" t="s">
        <v>204</v>
      </c>
      <c r="D80" s="502" t="s">
        <v>205</v>
      </c>
      <c r="E80" s="728"/>
      <c r="F80" s="729"/>
      <c r="G80" s="537" t="s">
        <v>41</v>
      </c>
      <c r="H80" s="732"/>
      <c r="I80" s="537" t="s">
        <v>42</v>
      </c>
      <c r="J80" s="732"/>
      <c r="K80" s="537" t="s">
        <v>43</v>
      </c>
      <c r="L80" s="732"/>
      <c r="M80" s="537" t="s">
        <v>44</v>
      </c>
      <c r="N80" s="732"/>
      <c r="O80" s="537" t="s">
        <v>52</v>
      </c>
      <c r="P80" s="2"/>
      <c r="Q80" s="3" t="s">
        <v>52</v>
      </c>
      <c r="R80" s="783"/>
      <c r="S80" s="784">
        <f>'Base Information Sheet'!$B$23*'Physical Condition Assessment'!E80*'PCA Cost Tables - READ ONLY'!P80*'Physical Condition Assessment'!R80*'Base Information Sheet'!$B$38*'Base Information Sheet'!$B$37</f>
        <v>0</v>
      </c>
      <c r="T80" s="786"/>
      <c r="U80" t="s">
        <v>206</v>
      </c>
      <c r="V80" s="502" t="s">
        <v>207</v>
      </c>
      <c r="AE80" s="475" t="s">
        <v>71</v>
      </c>
      <c r="AF80" s="475"/>
      <c r="AG80" s="475" t="s">
        <v>72</v>
      </c>
      <c r="AH80" s="476">
        <f>_xlfn.XLOOKUP($U80,'PCA Cost Tables - READ ONLY'!$E$10:$E$172,'PCA Cost Tables - READ ONLY'!$F$10:$F$172,"BLANK",0)</f>
        <v>0.39294000000000001</v>
      </c>
      <c r="AI80" s="476">
        <f>_xlfn.XLOOKUP($U80,'PCA Cost Tables - READ ONLY'!$E$10:$E$172,'PCA Cost Tables - READ ONLY'!$H$10:$H$172,"BLANK",0)</f>
        <v>5.2392000000000003</v>
      </c>
      <c r="AJ80" s="476">
        <f>_xlfn.XLOOKUP($U80,'PCA Cost Tables - READ ONLY'!$E$10:$E$172,'PCA Cost Tables - READ ONLY'!$J$10:$J$172,"BLANK",0)</f>
        <v>8.7494639999999997</v>
      </c>
      <c r="AK80" s="476">
        <f>_xlfn.XLOOKUP($U80,'PCA Cost Tables - READ ONLY'!$E$10:$E$172,'PCA Cost Tables - READ ONLY'!$L$10:$L$172,"BLANK",0)</f>
        <v>11.369064</v>
      </c>
      <c r="AL80" s="477" t="str">
        <f>IF($AE80="SF",IF($AF80="X",'Base Information Sheet'!$B$23*'Physical Condition Assessment'!$E80*'Physical Condition Assessment'!$AJ80,"-"))</f>
        <v>-</v>
      </c>
      <c r="AM80" s="477">
        <f>IF($AE80="SF",IF($AG80="X",'Base Information Sheet'!$B$23*'Physical Condition Assessment'!$E80*'Physical Condition Assessment'!$AK80,"-"))</f>
        <v>0</v>
      </c>
      <c r="AN80" s="477" t="b">
        <f>IF($AE80="Unit",IF($AF80="X",'Physical Condition Assessment'!$E80*'Physical Condition Assessment'!$AJ80,"-"))</f>
        <v>0</v>
      </c>
      <c r="AO80" s="477" t="b">
        <f>IF($AE80="Unit",IF($AG80="X",'Physical Condition Assessment'!$E80*'Physical Condition Assessment'!$AK80,"-"))</f>
        <v>0</v>
      </c>
      <c r="AP80" s="477">
        <f t="shared" si="2"/>
        <v>0</v>
      </c>
      <c r="AQ80" s="478" t="e">
        <f t="shared" si="3"/>
        <v>#DIV/0!</v>
      </c>
      <c r="AR80" s="734"/>
      <c r="AS80" s="734">
        <v>40</v>
      </c>
      <c r="AT80" s="737">
        <f ca="1">IF($AR80&gt;0,$C$5-$AR80,$C$5-'Base Information Sheet'!$B$15)</f>
        <v>2026</v>
      </c>
      <c r="AU80" s="737">
        <f>IF($AR80&gt;0,$AR80+$AS80,'Base Information Sheet'!$B$15+'Physical Condition Assessment'!$AS80)</f>
        <v>40</v>
      </c>
      <c r="AV80" s="738">
        <f ca="1">IF($N80="x",0,IF($AU80&lt;=$C$5,'Physical Condition Assessment'!$AP80,0))</f>
        <v>0</v>
      </c>
      <c r="AW80" s="738">
        <f ca="1">IF(AV80&gt;0,0,IF($N80="x",0,IF(($AU80-6)&lt;$C$5,'Physical Condition Assessment'!$AP80,0)))</f>
        <v>0</v>
      </c>
      <c r="AX80" s="738">
        <f ca="1">IF(SUM(AV80:AW80)&gt;0,0,IF($N80="x",0,IF(($AU80-11)&lt;$C$5,'Physical Condition Assessment'!$AP80,0)))</f>
        <v>0</v>
      </c>
      <c r="AY80" s="738">
        <f ca="1">IF(SUM(AV80:AX80)&gt;0,0,IF($N80="x",0,IF(($AU80-16)&lt;$C$5,'Physical Condition Assessment'!$AP80,0)))</f>
        <v>0</v>
      </c>
    </row>
    <row r="81" spans="1:51" ht="16" thickBot="1" x14ac:dyDescent="0.25">
      <c r="A81" s="755" t="s">
        <v>158</v>
      </c>
      <c r="B81" s="756" t="s">
        <v>188</v>
      </c>
      <c r="C81" s="502" t="s">
        <v>204</v>
      </c>
      <c r="D81" s="502" t="s">
        <v>208</v>
      </c>
      <c r="E81" s="728"/>
      <c r="F81" s="729"/>
      <c r="G81" s="537" t="s">
        <v>41</v>
      </c>
      <c r="H81" s="732"/>
      <c r="I81" s="537" t="s">
        <v>42</v>
      </c>
      <c r="J81" s="732"/>
      <c r="K81" s="537" t="s">
        <v>43</v>
      </c>
      <c r="L81" s="732"/>
      <c r="M81" s="537" t="s">
        <v>44</v>
      </c>
      <c r="N81" s="732"/>
      <c r="O81" s="537" t="s">
        <v>52</v>
      </c>
      <c r="P81" s="2"/>
      <c r="Q81" s="3" t="s">
        <v>52</v>
      </c>
      <c r="R81" s="783"/>
      <c r="S81" s="784">
        <f>'Base Information Sheet'!$B$23*'Physical Condition Assessment'!E81*'PCA Cost Tables - READ ONLY'!P81*'Physical Condition Assessment'!R81*'Base Information Sheet'!$B$38*'Base Information Sheet'!$B$37</f>
        <v>0</v>
      </c>
      <c r="T81" s="786"/>
      <c r="U81" t="s">
        <v>209</v>
      </c>
      <c r="V81" s="502" t="s">
        <v>207</v>
      </c>
      <c r="AE81" s="475" t="s">
        <v>71</v>
      </c>
      <c r="AF81" s="475"/>
      <c r="AG81" s="475" t="s">
        <v>72</v>
      </c>
      <c r="AH81" s="476">
        <f>_xlfn.XLOOKUP($U81,'PCA Cost Tables - READ ONLY'!$E$10:$E$172,'PCA Cost Tables - READ ONLY'!$F$10:$F$172,"BLANK",0)</f>
        <v>1.3228980000000001</v>
      </c>
      <c r="AI81" s="476">
        <f>_xlfn.XLOOKUP($U81,'PCA Cost Tables - READ ONLY'!$E$10:$E$172,'PCA Cost Tables - READ ONLY'!$H$10:$H$172,"BLANK",0)</f>
        <v>2.9470499999999999</v>
      </c>
      <c r="AJ81" s="476">
        <f>_xlfn.XLOOKUP($U81,'PCA Cost Tables - READ ONLY'!$E$10:$E$172,'PCA Cost Tables - READ ONLY'!$J$10:$J$172,"BLANK",0)</f>
        <v>6.2346479999999991</v>
      </c>
      <c r="AK81" s="476">
        <f>_xlfn.XLOOKUP($U81,'PCA Cost Tables - READ ONLY'!$E$10:$E$172,'PCA Cost Tables - READ ONLY'!$L$10:$L$172,"BLANK",0)</f>
        <v>8.9066399999999994</v>
      </c>
      <c r="AL81" s="477" t="str">
        <f>IF($AE81="SF",IF($AF81="X",'Base Information Sheet'!$B$23*'Physical Condition Assessment'!$E81*'Physical Condition Assessment'!$AJ81,"-"))</f>
        <v>-</v>
      </c>
      <c r="AM81" s="477">
        <f>IF($AE81="SF",IF($AG81="X",'Base Information Sheet'!$B$23*'Physical Condition Assessment'!$E81*'Physical Condition Assessment'!$AK81,"-"))</f>
        <v>0</v>
      </c>
      <c r="AN81" s="477" t="b">
        <f>IF($AE81="Unit",IF($AF81="X",'Physical Condition Assessment'!$E81*'Physical Condition Assessment'!$AJ81,"-"))</f>
        <v>0</v>
      </c>
      <c r="AO81" s="477" t="b">
        <f>IF($AE81="Unit",IF($AG81="X",'Physical Condition Assessment'!$E81*'Physical Condition Assessment'!$AK81,"-"))</f>
        <v>0</v>
      </c>
      <c r="AP81" s="477">
        <f t="shared" si="2"/>
        <v>0</v>
      </c>
      <c r="AQ81" s="478" t="e">
        <f t="shared" si="3"/>
        <v>#DIV/0!</v>
      </c>
      <c r="AR81" s="734"/>
      <c r="AS81" s="734">
        <v>40</v>
      </c>
      <c r="AT81" s="737">
        <f ca="1">IF($AR81&gt;0,$C$5-$AR81,$C$5-'Base Information Sheet'!$B$15)</f>
        <v>2026</v>
      </c>
      <c r="AU81" s="737">
        <f>IF($AR81&gt;0,$AR81+$AS81,'Base Information Sheet'!$B$15+'Physical Condition Assessment'!$AS81)</f>
        <v>40</v>
      </c>
      <c r="AV81" s="738">
        <f ca="1">IF($N81="x",0,IF($AU81&lt;=$C$5,'Physical Condition Assessment'!$AP81,0))</f>
        <v>0</v>
      </c>
      <c r="AW81" s="738">
        <f ca="1">IF(AV81&gt;0,0,IF($N81="x",0,IF(($AU81-6)&lt;$C$5,'Physical Condition Assessment'!$AP81,0)))</f>
        <v>0</v>
      </c>
      <c r="AX81" s="738">
        <f ca="1">IF(SUM(AV81:AW81)&gt;0,0,IF($N81="x",0,IF(($AU81-11)&lt;$C$5,'Physical Condition Assessment'!$AP81,0)))</f>
        <v>0</v>
      </c>
      <c r="AY81" s="738">
        <f ca="1">IF(SUM(AV81:AX81)&gt;0,0,IF($N81="x",0,IF(($AU81-16)&lt;$C$5,'Physical Condition Assessment'!$AP81,0)))</f>
        <v>0</v>
      </c>
    </row>
    <row r="82" spans="1:51" ht="16" thickBot="1" x14ac:dyDescent="0.25">
      <c r="A82" s="755" t="s">
        <v>158</v>
      </c>
      <c r="B82" s="756" t="s">
        <v>188</v>
      </c>
      <c r="C82" s="502" t="s">
        <v>204</v>
      </c>
      <c r="D82" s="502" t="s">
        <v>210</v>
      </c>
      <c r="E82" s="728"/>
      <c r="F82" s="729"/>
      <c r="G82" s="537" t="s">
        <v>41</v>
      </c>
      <c r="H82" s="732"/>
      <c r="I82" s="537" t="s">
        <v>42</v>
      </c>
      <c r="J82" s="732"/>
      <c r="K82" s="537" t="s">
        <v>43</v>
      </c>
      <c r="L82" s="732"/>
      <c r="M82" s="537" t="s">
        <v>44</v>
      </c>
      <c r="N82" s="732"/>
      <c r="O82" s="537" t="s">
        <v>52</v>
      </c>
      <c r="P82" s="2"/>
      <c r="Q82" s="3" t="s">
        <v>52</v>
      </c>
      <c r="R82" s="783"/>
      <c r="S82" s="784">
        <f>'Base Information Sheet'!$B$23*'Physical Condition Assessment'!E82*'PCA Cost Tables - READ ONLY'!P82*'Physical Condition Assessment'!R82*'Base Information Sheet'!$B$38*'Base Information Sheet'!$B$37</f>
        <v>0</v>
      </c>
      <c r="T82" s="786"/>
      <c r="U82" t="s">
        <v>211</v>
      </c>
      <c r="V82" s="502" t="s">
        <v>207</v>
      </c>
      <c r="AE82" s="475" t="s">
        <v>71</v>
      </c>
      <c r="AF82" s="475"/>
      <c r="AG82" s="475" t="s">
        <v>72</v>
      </c>
      <c r="AH82" s="476">
        <f>_xlfn.XLOOKUP($U82,'PCA Cost Tables - READ ONLY'!$E$10:$E$172,'PCA Cost Tables - READ ONLY'!$F$10:$F$172,"BLANK",0)</f>
        <v>2.6457960000000003</v>
      </c>
      <c r="AI82" s="476">
        <f>_xlfn.XLOOKUP($U82,'PCA Cost Tables - READ ONLY'!$E$10:$E$172,'PCA Cost Tables - READ ONLY'!$H$10:$H$172,"BLANK",0)</f>
        <v>7.8587999999999996</v>
      </c>
      <c r="AJ82" s="476">
        <f>_xlfn.XLOOKUP($U82,'PCA Cost Tables - READ ONLY'!$E$10:$E$172,'PCA Cost Tables - READ ONLY'!$J$10:$J$172,"BLANK",0)</f>
        <v>15.717599999999999</v>
      </c>
      <c r="AK82" s="476">
        <f>_xlfn.XLOOKUP($U82,'PCA Cost Tables - READ ONLY'!$E$10:$E$172,'PCA Cost Tables - READ ONLY'!$L$10:$L$172,"BLANK",0)</f>
        <v>18.337199999999999</v>
      </c>
      <c r="AL82" s="477" t="str">
        <f>IF($AE82="SF",IF($AF82="X",'Base Information Sheet'!$B$23*'Physical Condition Assessment'!$E82*'Physical Condition Assessment'!$AJ82,"-"))</f>
        <v>-</v>
      </c>
      <c r="AM82" s="477">
        <f>IF($AE82="SF",IF($AG82="X",'Base Information Sheet'!$B$23*'Physical Condition Assessment'!$E82*'Physical Condition Assessment'!$AK82,"-"))</f>
        <v>0</v>
      </c>
      <c r="AN82" s="477" t="b">
        <f>IF($AE82="Unit",IF($AF82="X",'Physical Condition Assessment'!$E82*'Physical Condition Assessment'!$AJ82,"-"))</f>
        <v>0</v>
      </c>
      <c r="AO82" s="477" t="b">
        <f>IF($AE82="Unit",IF($AG82="X",'Physical Condition Assessment'!$E82*'Physical Condition Assessment'!$AK82,"-"))</f>
        <v>0</v>
      </c>
      <c r="AP82" s="477">
        <f t="shared" si="2"/>
        <v>0</v>
      </c>
      <c r="AQ82" s="478" t="e">
        <f t="shared" si="3"/>
        <v>#DIV/0!</v>
      </c>
      <c r="AR82" s="734"/>
      <c r="AS82" s="734">
        <v>40</v>
      </c>
      <c r="AT82" s="737">
        <f ca="1">IF($AR82&gt;0,$C$5-$AR82,$C$5-'Base Information Sheet'!$B$15)</f>
        <v>2026</v>
      </c>
      <c r="AU82" s="737">
        <f>IF($AR82&gt;0,$AR82+$AS82,'Base Information Sheet'!$B$15+'Physical Condition Assessment'!$AS82)</f>
        <v>40</v>
      </c>
      <c r="AV82" s="738">
        <f ca="1">IF($N82="x",0,IF($AU82&lt;=$C$5,'Physical Condition Assessment'!$AP82,0))</f>
        <v>0</v>
      </c>
      <c r="AW82" s="738">
        <f ca="1">IF(AV82&gt;0,0,IF($N82="x",0,IF(($AU82-6)&lt;$C$5,'Physical Condition Assessment'!$AP82,0)))</f>
        <v>0</v>
      </c>
      <c r="AX82" s="738">
        <f ca="1">IF(SUM(AV82:AW82)&gt;0,0,IF($N82="x",0,IF(($AU82-11)&lt;$C$5,'Physical Condition Assessment'!$AP82,0)))</f>
        <v>0</v>
      </c>
      <c r="AY82" s="738">
        <f ca="1">IF(SUM(AV82:AX82)&gt;0,0,IF($N82="x",0,IF(($AU82-16)&lt;$C$5,'Physical Condition Assessment'!$AP82,0)))</f>
        <v>0</v>
      </c>
    </row>
    <row r="83" spans="1:51" ht="16" thickBot="1" x14ac:dyDescent="0.25">
      <c r="A83" s="755" t="s">
        <v>158</v>
      </c>
      <c r="B83" s="756" t="s">
        <v>188</v>
      </c>
      <c r="C83" s="502" t="s">
        <v>204</v>
      </c>
      <c r="D83" s="502" t="s">
        <v>212</v>
      </c>
      <c r="E83" s="728"/>
      <c r="F83" s="729"/>
      <c r="G83" s="537" t="s">
        <v>41</v>
      </c>
      <c r="H83" s="732"/>
      <c r="I83" s="537" t="s">
        <v>42</v>
      </c>
      <c r="J83" s="732"/>
      <c r="K83" s="537" t="s">
        <v>43</v>
      </c>
      <c r="L83" s="732"/>
      <c r="M83" s="537" t="s">
        <v>44</v>
      </c>
      <c r="N83" s="732"/>
      <c r="O83" s="537" t="s">
        <v>52</v>
      </c>
      <c r="P83" s="2"/>
      <c r="Q83" s="3" t="s">
        <v>52</v>
      </c>
      <c r="R83" s="783"/>
      <c r="S83" s="784">
        <f>'Base Information Sheet'!$B$23*'Physical Condition Assessment'!E83*'PCA Cost Tables - READ ONLY'!P83*'Physical Condition Assessment'!R83*'Base Information Sheet'!$B$38*'Base Information Sheet'!$B$37</f>
        <v>0</v>
      </c>
      <c r="T83" s="786"/>
      <c r="U83" t="s">
        <v>213</v>
      </c>
      <c r="V83" s="502" t="s">
        <v>207</v>
      </c>
      <c r="AE83" s="475" t="s">
        <v>71</v>
      </c>
      <c r="AF83" s="475"/>
      <c r="AG83" s="475" t="s">
        <v>72</v>
      </c>
      <c r="AH83" s="476">
        <f>_xlfn.XLOOKUP($U83,'PCA Cost Tables - READ ONLY'!$E$10:$E$172,'PCA Cost Tables - READ ONLY'!$F$10:$F$172,"BLANK",0)</f>
        <v>2.6457960000000003</v>
      </c>
      <c r="AI83" s="476">
        <f>_xlfn.XLOOKUP($U83,'PCA Cost Tables - READ ONLY'!$E$10:$E$172,'PCA Cost Tables - READ ONLY'!$H$10:$H$172,"BLANK",0)</f>
        <v>6.2215500000000006</v>
      </c>
      <c r="AJ83" s="476">
        <f>_xlfn.XLOOKUP($U83,'PCA Cost Tables - READ ONLY'!$E$10:$E$172,'PCA Cost Tables - READ ONLY'!$J$10:$J$172,"BLANK",0)</f>
        <v>11.7882</v>
      </c>
      <c r="AK83" s="476">
        <f>_xlfn.XLOOKUP($U83,'PCA Cost Tables - READ ONLY'!$E$10:$E$172,'PCA Cost Tables - READ ONLY'!$L$10:$L$172,"BLANK",0)</f>
        <v>14.4078</v>
      </c>
      <c r="AL83" s="477" t="str">
        <f>IF($AE83="SF",IF($AF83="X",'Base Information Sheet'!$B$23*'Physical Condition Assessment'!$E83*'Physical Condition Assessment'!$AJ83,"-"))</f>
        <v>-</v>
      </c>
      <c r="AM83" s="477">
        <f>IF($AE83="SF",IF($AG83="X",'Base Information Sheet'!$B$23*'Physical Condition Assessment'!$E83*'Physical Condition Assessment'!$AK83,"-"))</f>
        <v>0</v>
      </c>
      <c r="AN83" s="477" t="b">
        <f>IF($AE83="Unit",IF($AF83="X",'Physical Condition Assessment'!$E83*'Physical Condition Assessment'!$AJ83,"-"))</f>
        <v>0</v>
      </c>
      <c r="AO83" s="477" t="b">
        <f>IF($AE83="Unit",IF($AG83="X",'Physical Condition Assessment'!$E83*'Physical Condition Assessment'!$AK83,"-"))</f>
        <v>0</v>
      </c>
      <c r="AP83" s="477">
        <f t="shared" si="2"/>
        <v>0</v>
      </c>
      <c r="AQ83" s="478" t="e">
        <f t="shared" si="3"/>
        <v>#DIV/0!</v>
      </c>
      <c r="AR83" s="734"/>
      <c r="AS83" s="734">
        <v>40</v>
      </c>
      <c r="AT83" s="737">
        <f ca="1">IF($AR83&gt;0,$C$5-$AR83,$C$5-'Base Information Sheet'!$B$15)</f>
        <v>2026</v>
      </c>
      <c r="AU83" s="737">
        <f>IF($AR83&gt;0,$AR83+$AS83,'Base Information Sheet'!$B$15+'Physical Condition Assessment'!$AS83)</f>
        <v>40</v>
      </c>
      <c r="AV83" s="738">
        <f ca="1">IF($N83="x",0,IF($AU83&lt;=$C$5,'Physical Condition Assessment'!$AP83,0))</f>
        <v>0</v>
      </c>
      <c r="AW83" s="738">
        <f ca="1">IF(AV83&gt;0,0,IF($N83="x",0,IF(($AU83-6)&lt;$C$5,'Physical Condition Assessment'!$AP83,0)))</f>
        <v>0</v>
      </c>
      <c r="AX83" s="738">
        <f ca="1">IF(SUM(AV83:AW83)&gt;0,0,IF($N83="x",0,IF(($AU83-11)&lt;$C$5,'Physical Condition Assessment'!$AP83,0)))</f>
        <v>0</v>
      </c>
      <c r="AY83" s="738">
        <f ca="1">IF(SUM(AV83:AX83)&gt;0,0,IF($N83="x",0,IF(($AU83-16)&lt;$C$5,'Physical Condition Assessment'!$AP83,0)))</f>
        <v>0</v>
      </c>
    </row>
    <row r="84" spans="1:51" ht="16" thickBot="1" x14ac:dyDescent="0.25">
      <c r="A84" s="755" t="s">
        <v>158</v>
      </c>
      <c r="B84" s="756" t="s">
        <v>188</v>
      </c>
      <c r="C84" s="502" t="s">
        <v>204</v>
      </c>
      <c r="D84" s="502" t="s">
        <v>202</v>
      </c>
      <c r="E84" s="728"/>
      <c r="F84" s="729"/>
      <c r="G84" s="537" t="s">
        <v>41</v>
      </c>
      <c r="H84" s="732"/>
      <c r="I84" s="537" t="s">
        <v>42</v>
      </c>
      <c r="J84" s="732"/>
      <c r="K84" s="537" t="s">
        <v>43</v>
      </c>
      <c r="L84" s="732"/>
      <c r="M84" s="537" t="s">
        <v>44</v>
      </c>
      <c r="N84" s="732"/>
      <c r="O84" s="537" t="s">
        <v>52</v>
      </c>
      <c r="P84" s="2"/>
      <c r="Q84" s="3" t="s">
        <v>52</v>
      </c>
      <c r="R84" s="783"/>
      <c r="S84" s="784">
        <f>'Base Information Sheet'!$B$23*'Physical Condition Assessment'!E84*'PCA Cost Tables - READ ONLY'!P84*'Physical Condition Assessment'!R84*'Base Information Sheet'!$B$38*'Base Information Sheet'!$B$37</f>
        <v>0</v>
      </c>
      <c r="T84" s="786"/>
      <c r="U84" t="s">
        <v>214</v>
      </c>
      <c r="V84" s="502" t="s">
        <v>207</v>
      </c>
      <c r="AE84" s="475" t="s">
        <v>71</v>
      </c>
      <c r="AF84" s="475"/>
      <c r="AG84" s="475" t="s">
        <v>72</v>
      </c>
      <c r="AH84" s="476">
        <f>_xlfn.XLOOKUP($U84,'PCA Cost Tables - READ ONLY'!$E$10:$E$172,'PCA Cost Tables - READ ONLY'!$F$10:$F$172,"BLANK",0)</f>
        <v>4.9903380000000004</v>
      </c>
      <c r="AI84" s="476">
        <f>_xlfn.XLOOKUP($U84,'PCA Cost Tables - READ ONLY'!$E$10:$E$172,'PCA Cost Tables - READ ONLY'!$H$10:$H$172,"BLANK",0)</f>
        <v>15.717599999999999</v>
      </c>
      <c r="AJ84" s="476">
        <f>_xlfn.XLOOKUP($U84,'PCA Cost Tables - READ ONLY'!$E$10:$E$172,'PCA Cost Tables - READ ONLY'!$J$10:$J$172,"BLANK",0)</f>
        <v>32.928372000000003</v>
      </c>
      <c r="AK84" s="476">
        <f>_xlfn.XLOOKUP($U84,'PCA Cost Tables - READ ONLY'!$E$10:$E$172,'PCA Cost Tables - READ ONLY'!$L$10:$L$172,"BLANK",0)</f>
        <v>35.547972000000001</v>
      </c>
      <c r="AL84" s="477" t="str">
        <f>IF($AE84="SF",IF($AF84="X",'Base Information Sheet'!$B$23*'Physical Condition Assessment'!$E84*'Physical Condition Assessment'!$AJ84,"-"))</f>
        <v>-</v>
      </c>
      <c r="AM84" s="477">
        <f>IF($AE84="SF",IF($AG84="X",'Base Information Sheet'!$B$23*'Physical Condition Assessment'!$E84*'Physical Condition Assessment'!$AK84,"-"))</f>
        <v>0</v>
      </c>
      <c r="AN84" s="477" t="b">
        <f>IF($AE84="Unit",IF($AF84="X",'Physical Condition Assessment'!$E84*'Physical Condition Assessment'!$AJ84,"-"))</f>
        <v>0</v>
      </c>
      <c r="AO84" s="477" t="b">
        <f>IF($AE84="Unit",IF($AG84="X",'Physical Condition Assessment'!$E84*'Physical Condition Assessment'!$AK84,"-"))</f>
        <v>0</v>
      </c>
      <c r="AP84" s="477">
        <f t="shared" si="2"/>
        <v>0</v>
      </c>
      <c r="AQ84" s="478" t="e">
        <f t="shared" si="3"/>
        <v>#DIV/0!</v>
      </c>
      <c r="AR84" s="734"/>
      <c r="AS84" s="734">
        <v>40</v>
      </c>
      <c r="AT84" s="737">
        <f ca="1">IF($AR84&gt;0,$C$5-$AR84,$C$5-'Base Information Sheet'!$B$15)</f>
        <v>2026</v>
      </c>
      <c r="AU84" s="737">
        <f>IF($AR84&gt;0,$AR84+$AS84,'Base Information Sheet'!$B$15+'Physical Condition Assessment'!$AS84)</f>
        <v>40</v>
      </c>
      <c r="AV84" s="738">
        <f ca="1">IF($N84="x",0,IF($AU84&lt;=$C$5,'Physical Condition Assessment'!$AP84,0))</f>
        <v>0</v>
      </c>
      <c r="AW84" s="738">
        <f ca="1">IF(AV84&gt;0,0,IF($N84="x",0,IF(($AU84-6)&lt;$C$5,'Physical Condition Assessment'!$AP84,0)))</f>
        <v>0</v>
      </c>
      <c r="AX84" s="738">
        <f ca="1">IF(SUM(AV84:AW84)&gt;0,0,IF($N84="x",0,IF(($AU84-11)&lt;$C$5,'Physical Condition Assessment'!$AP84,0)))</f>
        <v>0</v>
      </c>
      <c r="AY84" s="738">
        <f ca="1">IF(SUM(AV84:AX84)&gt;0,0,IF($N84="x",0,IF(($AU84-16)&lt;$C$5,'Physical Condition Assessment'!$AP84,0)))</f>
        <v>0</v>
      </c>
    </row>
    <row r="85" spans="1:51" ht="16" thickBot="1" x14ac:dyDescent="0.25">
      <c r="A85" s="755" t="s">
        <v>158</v>
      </c>
      <c r="B85" s="756" t="s">
        <v>188</v>
      </c>
      <c r="C85" s="502" t="s">
        <v>204</v>
      </c>
      <c r="D85" s="502" t="s">
        <v>215</v>
      </c>
      <c r="E85" s="728"/>
      <c r="F85" s="729"/>
      <c r="G85" s="537" t="s">
        <v>41</v>
      </c>
      <c r="H85" s="732"/>
      <c r="I85" s="537" t="s">
        <v>42</v>
      </c>
      <c r="J85" s="732"/>
      <c r="K85" s="537" t="s">
        <v>43</v>
      </c>
      <c r="L85" s="732"/>
      <c r="M85" s="537" t="s">
        <v>44</v>
      </c>
      <c r="N85" s="732"/>
      <c r="O85" s="537" t="s">
        <v>52</v>
      </c>
      <c r="P85" s="2"/>
      <c r="Q85" s="3" t="s">
        <v>52</v>
      </c>
      <c r="R85" s="783"/>
      <c r="S85" s="784">
        <f>'Base Information Sheet'!$B$23*'Physical Condition Assessment'!E85*'PCA Cost Tables - READ ONLY'!P85*'Physical Condition Assessment'!R85*'Base Information Sheet'!$B$38*'Base Information Sheet'!$B$37</f>
        <v>0</v>
      </c>
      <c r="T85" s="786"/>
      <c r="U85" t="s">
        <v>216</v>
      </c>
      <c r="V85" s="502" t="s">
        <v>207</v>
      </c>
      <c r="AE85" s="475" t="s">
        <v>71</v>
      </c>
      <c r="AF85" s="475"/>
      <c r="AG85" s="475" t="s">
        <v>72</v>
      </c>
      <c r="AH85" s="476">
        <f>_xlfn.XLOOKUP($U85,'PCA Cost Tables - READ ONLY'!$E$10:$E$172,'PCA Cost Tables - READ ONLY'!$F$10:$F$172,"BLANK",0)</f>
        <v>5.2392000000000003</v>
      </c>
      <c r="AI85" s="476">
        <f>_xlfn.XLOOKUP($U85,'PCA Cost Tables - READ ONLY'!$E$10:$E$172,'PCA Cost Tables - READ ONLY'!$H$10:$H$172,"BLANK",0)</f>
        <v>10.334322</v>
      </c>
      <c r="AJ85" s="476">
        <f>_xlfn.XLOOKUP($U85,'PCA Cost Tables - READ ONLY'!$E$10:$E$172,'PCA Cost Tables - READ ONLY'!$J$10:$J$172,"BLANK",0)</f>
        <v>18.481278</v>
      </c>
      <c r="AK85" s="476">
        <f>_xlfn.XLOOKUP($U85,'PCA Cost Tables - READ ONLY'!$E$10:$E$172,'PCA Cost Tables - READ ONLY'!$L$10:$L$172,"BLANK",0)</f>
        <v>21.100878000000002</v>
      </c>
      <c r="AL85" s="477" t="str">
        <f>IF($AE85="SF",IF($AF85="X",'Base Information Sheet'!$B$23*'Physical Condition Assessment'!$E85*'Physical Condition Assessment'!$AJ85,"-"))</f>
        <v>-</v>
      </c>
      <c r="AM85" s="477">
        <f>IF($AE85="SF",IF($AG85="X",'Base Information Sheet'!$B$23*'Physical Condition Assessment'!$E85*'Physical Condition Assessment'!$AK85,"-"))</f>
        <v>0</v>
      </c>
      <c r="AN85" s="477" t="b">
        <f>IF($AE85="Unit",IF($AF85="X",'Physical Condition Assessment'!$E85*'Physical Condition Assessment'!$AJ85,"-"))</f>
        <v>0</v>
      </c>
      <c r="AO85" s="477" t="b">
        <f>IF($AE85="Unit",IF($AG85="X",'Physical Condition Assessment'!$E85*'Physical Condition Assessment'!$AK85,"-"))</f>
        <v>0</v>
      </c>
      <c r="AP85" s="477">
        <f t="shared" si="2"/>
        <v>0</v>
      </c>
      <c r="AQ85" s="478" t="e">
        <f t="shared" si="3"/>
        <v>#DIV/0!</v>
      </c>
      <c r="AR85" s="734"/>
      <c r="AS85" s="734">
        <v>40</v>
      </c>
      <c r="AT85" s="737">
        <f ca="1">IF($AR85&gt;0,$C$5-$AR85,$C$5-'Base Information Sheet'!$B$15)</f>
        <v>2026</v>
      </c>
      <c r="AU85" s="737">
        <f>IF($AR85&gt;0,$AR85+$AS85,'Base Information Sheet'!$B$15+'Physical Condition Assessment'!$AS85)</f>
        <v>40</v>
      </c>
      <c r="AV85" s="738">
        <f ca="1">IF($N85="x",0,IF($AU85&lt;=$C$5,'Physical Condition Assessment'!$AP85,0))</f>
        <v>0</v>
      </c>
      <c r="AW85" s="738">
        <f ca="1">IF(AV85&gt;0,0,IF($N85="x",0,IF(($AU85-6)&lt;$C$5,'Physical Condition Assessment'!$AP85,0)))</f>
        <v>0</v>
      </c>
      <c r="AX85" s="738">
        <f ca="1">IF(SUM(AV85:AW85)&gt;0,0,IF($N85="x",0,IF(($AU85-11)&lt;$C$5,'Physical Condition Assessment'!$AP85,0)))</f>
        <v>0</v>
      </c>
      <c r="AY85" s="738">
        <f ca="1">IF(SUM(AV85:AX85)&gt;0,0,IF($N85="x",0,IF(($AU85-16)&lt;$C$5,'Physical Condition Assessment'!$AP85,0)))</f>
        <v>0</v>
      </c>
    </row>
    <row r="86" spans="1:51" ht="16" thickBot="1" x14ac:dyDescent="0.25">
      <c r="A86" s="755" t="s">
        <v>158</v>
      </c>
      <c r="B86" s="756" t="s">
        <v>188</v>
      </c>
      <c r="C86" s="502" t="s">
        <v>204</v>
      </c>
      <c r="D86" s="502" t="s">
        <v>217</v>
      </c>
      <c r="E86" s="728"/>
      <c r="F86" s="729"/>
      <c r="G86" s="537" t="s">
        <v>41</v>
      </c>
      <c r="H86" s="732"/>
      <c r="I86" s="537" t="s">
        <v>42</v>
      </c>
      <c r="J86" s="732"/>
      <c r="K86" s="537" t="s">
        <v>43</v>
      </c>
      <c r="L86" s="732"/>
      <c r="M86" s="537" t="s">
        <v>44</v>
      </c>
      <c r="N86" s="732"/>
      <c r="O86" s="537" t="s">
        <v>52</v>
      </c>
      <c r="P86" s="2"/>
      <c r="Q86" s="3" t="s">
        <v>52</v>
      </c>
      <c r="R86" s="783"/>
      <c r="S86" s="784">
        <f>'Base Information Sheet'!$B$23*'Physical Condition Assessment'!E86*'PCA Cost Tables - READ ONLY'!P86*'Physical Condition Assessment'!R86*'Base Information Sheet'!$B$38*'Base Information Sheet'!$B$37</f>
        <v>0</v>
      </c>
      <c r="T86" s="786"/>
      <c r="U86" t="s">
        <v>218</v>
      </c>
      <c r="V86" s="502" t="s">
        <v>207</v>
      </c>
      <c r="AE86" s="475" t="s">
        <v>71</v>
      </c>
      <c r="AF86" s="475"/>
      <c r="AG86" s="475" t="s">
        <v>72</v>
      </c>
      <c r="AH86" s="476">
        <f>_xlfn.XLOOKUP($U86,'PCA Cost Tables - READ ONLY'!$E$10:$E$172,'PCA Cost Tables - READ ONLY'!$F$10:$F$172,"BLANK",0)</f>
        <v>8.9375</v>
      </c>
      <c r="AI86" s="476">
        <f>_xlfn.XLOOKUP($U86,'PCA Cost Tables - READ ONLY'!$E$10:$E$172,'PCA Cost Tables - READ ONLY'!$H$10:$H$172,"BLANK",0)</f>
        <v>12.512499999999999</v>
      </c>
      <c r="AJ86" s="476">
        <f>_xlfn.XLOOKUP($U86,'PCA Cost Tables - READ ONLY'!$E$10:$E$172,'PCA Cost Tables - READ ONLY'!$J$10:$J$172,"BLANK",0)</f>
        <v>32.174999999999997</v>
      </c>
      <c r="AK86" s="476">
        <f>_xlfn.XLOOKUP($U86,'PCA Cost Tables - READ ONLY'!$E$10:$E$172,'PCA Cost Tables - READ ONLY'!$L$10:$L$172,"BLANK",0)</f>
        <v>35.75</v>
      </c>
      <c r="AL86" s="477" t="str">
        <f>IF($AE86="SF",IF($AF86="X",'Base Information Sheet'!$B$23*'Physical Condition Assessment'!$E86*'Physical Condition Assessment'!$AJ86,"-"))</f>
        <v>-</v>
      </c>
      <c r="AM86" s="477">
        <f>IF($AE86="SF",IF($AG86="X",'Base Information Sheet'!$B$23*'Physical Condition Assessment'!$E86*'Physical Condition Assessment'!$AK86,"-"))</f>
        <v>0</v>
      </c>
      <c r="AN86" s="477" t="b">
        <f>IF($AE86="Unit",IF($AF86="X",'Physical Condition Assessment'!$E86*'Physical Condition Assessment'!$AJ86,"-"))</f>
        <v>0</v>
      </c>
      <c r="AO86" s="477" t="b">
        <f>IF($AE86="Unit",IF($AG86="X",'Physical Condition Assessment'!$E86*'Physical Condition Assessment'!$AK86,"-"))</f>
        <v>0</v>
      </c>
      <c r="AP86" s="477">
        <f t="shared" si="2"/>
        <v>0</v>
      </c>
      <c r="AQ86" s="478" t="e">
        <f t="shared" si="3"/>
        <v>#DIV/0!</v>
      </c>
      <c r="AR86" s="734"/>
      <c r="AS86" s="734">
        <v>40</v>
      </c>
      <c r="AT86" s="737">
        <f ca="1">IF($AR86&gt;0,$C$5-$AR86,$C$5-'Base Information Sheet'!$B$15)</f>
        <v>2026</v>
      </c>
      <c r="AU86" s="737">
        <f>IF($AR86&gt;0,$AR86+$AS86,'Base Information Sheet'!$B$15+'Physical Condition Assessment'!$AS86)</f>
        <v>40</v>
      </c>
      <c r="AV86" s="738">
        <f ca="1">IF($N86="x",0,IF($AU86&lt;=$C$5,'Physical Condition Assessment'!$AP86,0))</f>
        <v>0</v>
      </c>
      <c r="AW86" s="738">
        <f ca="1">IF(AV86&gt;0,0,IF($N86="x",0,IF(($AU86-6)&lt;$C$5,'Physical Condition Assessment'!$AP86,0)))</f>
        <v>0</v>
      </c>
      <c r="AX86" s="738">
        <f ca="1">IF(SUM(AV86:AW86)&gt;0,0,IF($N86="x",0,IF(($AU86-11)&lt;$C$5,'Physical Condition Assessment'!$AP86,0)))</f>
        <v>0</v>
      </c>
      <c r="AY86" s="738">
        <f ca="1">IF(SUM(AV86:AX86)&gt;0,0,IF($N86="x",0,IF(($AU86-16)&lt;$C$5,'Physical Condition Assessment'!$AP86,0)))</f>
        <v>0</v>
      </c>
    </row>
    <row r="87" spans="1:51" ht="16" thickBot="1" x14ac:dyDescent="0.25">
      <c r="A87" s="755" t="s">
        <v>158</v>
      </c>
      <c r="B87" s="756" t="s">
        <v>188</v>
      </c>
      <c r="C87" s="502" t="s">
        <v>219</v>
      </c>
      <c r="D87" s="502" t="s">
        <v>192</v>
      </c>
      <c r="E87" s="728"/>
      <c r="F87" s="729"/>
      <c r="G87" s="537" t="s">
        <v>41</v>
      </c>
      <c r="H87" s="732"/>
      <c r="I87" s="537" t="s">
        <v>42</v>
      </c>
      <c r="J87" s="732"/>
      <c r="K87" s="537" t="s">
        <v>43</v>
      </c>
      <c r="L87" s="732"/>
      <c r="M87" s="537" t="s">
        <v>44</v>
      </c>
      <c r="N87" s="732"/>
      <c r="O87" s="537" t="s">
        <v>52</v>
      </c>
      <c r="P87" s="2"/>
      <c r="Q87" s="3" t="s">
        <v>52</v>
      </c>
      <c r="R87" s="783"/>
      <c r="S87" s="784">
        <f>'Base Information Sheet'!$B$23*'Physical Condition Assessment'!E87*'PCA Cost Tables - READ ONLY'!P87*'Physical Condition Assessment'!R87*'Base Information Sheet'!$B$38*'Base Information Sheet'!$B$37</f>
        <v>0</v>
      </c>
      <c r="T87" s="786"/>
      <c r="U87" t="s">
        <v>220</v>
      </c>
      <c r="V87" s="502" t="s">
        <v>85</v>
      </c>
      <c r="AE87" s="475" t="s">
        <v>71</v>
      </c>
      <c r="AF87" s="475"/>
      <c r="AG87" s="475" t="s">
        <v>72</v>
      </c>
      <c r="AH87" s="476">
        <f>_xlfn.XLOOKUP($U87,'PCA Cost Tables - READ ONLY'!$E$10:$E$172,'PCA Cost Tables - READ ONLY'!$F$10:$F$172,"BLANK",0)</f>
        <v>4.1127720000000005</v>
      </c>
      <c r="AI87" s="476">
        <f>_xlfn.XLOOKUP($U87,'PCA Cost Tables - READ ONLY'!$E$10:$E$172,'PCA Cost Tables - READ ONLY'!$H$10:$H$172,"BLANK",0)</f>
        <v>9.1685999999999996</v>
      </c>
      <c r="AJ87" s="476">
        <f>_xlfn.XLOOKUP($U87,'PCA Cost Tables - READ ONLY'!$E$10:$E$172,'PCA Cost Tables - READ ONLY'!$J$10:$J$172,"BLANK",0)</f>
        <v>11.7882</v>
      </c>
      <c r="AK87" s="476">
        <f>_xlfn.XLOOKUP($U87,'PCA Cost Tables - READ ONLY'!$E$10:$E$172,'PCA Cost Tables - READ ONLY'!$L$10:$L$172,"BLANK",0)</f>
        <v>15.717599999999999</v>
      </c>
      <c r="AL87" s="477" t="str">
        <f>IF($AE87="SF",IF($AF87="X",'Base Information Sheet'!$B$23*'Physical Condition Assessment'!$E87*'Physical Condition Assessment'!$AJ87,"-"))</f>
        <v>-</v>
      </c>
      <c r="AM87" s="477">
        <f>IF($AE87="SF",IF($AG87="X",'Base Information Sheet'!$B$23*'Physical Condition Assessment'!$E87*'Physical Condition Assessment'!$AK87,"-"))</f>
        <v>0</v>
      </c>
      <c r="AN87" s="477" t="b">
        <f>IF($AE87="Unit",IF($AF87="X",'Physical Condition Assessment'!$E87*'Physical Condition Assessment'!$AJ87,"-"))</f>
        <v>0</v>
      </c>
      <c r="AO87" s="477" t="b">
        <f>IF($AE87="Unit",IF($AG87="X",'Physical Condition Assessment'!$E87*'Physical Condition Assessment'!$AK87,"-"))</f>
        <v>0</v>
      </c>
      <c r="AP87" s="477">
        <f t="shared" si="2"/>
        <v>0</v>
      </c>
      <c r="AQ87" s="478" t="e">
        <f t="shared" si="3"/>
        <v>#DIV/0!</v>
      </c>
      <c r="AR87" s="734"/>
      <c r="AS87" s="734">
        <v>25</v>
      </c>
      <c r="AT87" s="737">
        <f ca="1">IF($AR87&gt;0,$C$5-$AR87,$C$5-'Base Information Sheet'!$B$15)</f>
        <v>2026</v>
      </c>
      <c r="AU87" s="737">
        <f>IF($AR87&gt;0,$AR87+$AS87,'Base Information Sheet'!$B$15+'Physical Condition Assessment'!$AS87)</f>
        <v>25</v>
      </c>
      <c r="AV87" s="738">
        <f ca="1">IF($N87="x",0,IF($AU87&lt;=$C$5,'Physical Condition Assessment'!$AP87,0))</f>
        <v>0</v>
      </c>
      <c r="AW87" s="738">
        <f ca="1">IF(AV87&gt;0,0,IF($N87="x",0,IF(($AU87-6)&lt;$C$5,'Physical Condition Assessment'!$AP87,0)))</f>
        <v>0</v>
      </c>
      <c r="AX87" s="738">
        <f ca="1">IF(SUM(AV87:AW87)&gt;0,0,IF($N87="x",0,IF(($AU87-11)&lt;$C$5,'Physical Condition Assessment'!$AP87,0)))</f>
        <v>0</v>
      </c>
      <c r="AY87" s="738">
        <f ca="1">IF(SUM(AV87:AX87)&gt;0,0,IF($N87="x",0,IF(($AU87-16)&lt;$C$5,'Physical Condition Assessment'!$AP87,0)))</f>
        <v>0</v>
      </c>
    </row>
    <row r="88" spans="1:51" ht="16" thickBot="1" x14ac:dyDescent="0.25">
      <c r="A88" s="755" t="s">
        <v>158</v>
      </c>
      <c r="B88" s="756" t="s">
        <v>188</v>
      </c>
      <c r="C88" s="502" t="s">
        <v>219</v>
      </c>
      <c r="D88" s="502" t="s">
        <v>221</v>
      </c>
      <c r="E88" s="728"/>
      <c r="F88" s="729"/>
      <c r="G88" s="537" t="s">
        <v>41</v>
      </c>
      <c r="H88" s="732"/>
      <c r="I88" s="537" t="s">
        <v>42</v>
      </c>
      <c r="J88" s="732"/>
      <c r="K88" s="537" t="s">
        <v>43</v>
      </c>
      <c r="L88" s="732"/>
      <c r="M88" s="537" t="s">
        <v>44</v>
      </c>
      <c r="N88" s="732"/>
      <c r="O88" s="537" t="s">
        <v>52</v>
      </c>
      <c r="P88" s="2"/>
      <c r="Q88" s="3" t="s">
        <v>52</v>
      </c>
      <c r="R88" s="783"/>
      <c r="S88" s="784">
        <f>'Base Information Sheet'!$B$23*'Physical Condition Assessment'!E88*'PCA Cost Tables - READ ONLY'!P88*'Physical Condition Assessment'!R88*'Base Information Sheet'!$B$38*'Base Information Sheet'!$B$37</f>
        <v>0</v>
      </c>
      <c r="T88" s="786"/>
      <c r="U88" t="s">
        <v>222</v>
      </c>
      <c r="V88" s="502" t="s">
        <v>85</v>
      </c>
      <c r="AE88" s="475" t="s">
        <v>71</v>
      </c>
      <c r="AF88" s="475"/>
      <c r="AG88" s="475" t="s">
        <v>72</v>
      </c>
      <c r="AH88" s="476">
        <f>_xlfn.XLOOKUP($U88,'PCA Cost Tables - READ ONLY'!$E$10:$E$172,'PCA Cost Tables - READ ONLY'!$F$10:$F$172,"BLANK",0)</f>
        <v>1.3098000000000001</v>
      </c>
      <c r="AI88" s="476">
        <f>_xlfn.XLOOKUP($U88,'PCA Cost Tables - READ ONLY'!$E$10:$E$172,'PCA Cost Tables - READ ONLY'!$H$10:$H$172,"BLANK",0)</f>
        <v>1.8206219999999997</v>
      </c>
      <c r="AJ88" s="476">
        <f>_xlfn.XLOOKUP($U88,'PCA Cost Tables - READ ONLY'!$E$10:$E$172,'PCA Cost Tables - READ ONLY'!$J$10:$J$172,"BLANK",0)</f>
        <v>5.2392000000000003</v>
      </c>
      <c r="AK88" s="476">
        <f>_xlfn.XLOOKUP($U88,'PCA Cost Tables - READ ONLY'!$E$10:$E$172,'PCA Cost Tables - READ ONLY'!$L$10:$L$172,"BLANK",0)</f>
        <v>10.478400000000001</v>
      </c>
      <c r="AL88" s="477" t="str">
        <f>IF($AE88="SF",IF($AF88="X",'Base Information Sheet'!$B$23*'Physical Condition Assessment'!$E88*'Physical Condition Assessment'!$AJ88,"-"))</f>
        <v>-</v>
      </c>
      <c r="AM88" s="477">
        <f>IF($AE88="SF",IF($AG88="X",'Base Information Sheet'!$B$23*'Physical Condition Assessment'!$E88*'Physical Condition Assessment'!$AK88,"-"))</f>
        <v>0</v>
      </c>
      <c r="AN88" s="477" t="b">
        <f>IF($AE88="Unit",IF($AF88="X",'Physical Condition Assessment'!$E88*'Physical Condition Assessment'!$AJ88,"-"))</f>
        <v>0</v>
      </c>
      <c r="AO88" s="477" t="b">
        <f>IF($AE88="Unit",IF($AG88="X",'Physical Condition Assessment'!$E88*'Physical Condition Assessment'!$AK88,"-"))</f>
        <v>0</v>
      </c>
      <c r="AP88" s="477">
        <f t="shared" si="2"/>
        <v>0</v>
      </c>
      <c r="AQ88" s="478" t="e">
        <f t="shared" si="3"/>
        <v>#DIV/0!</v>
      </c>
      <c r="AR88" s="734"/>
      <c r="AS88" s="734">
        <v>25</v>
      </c>
      <c r="AT88" s="737">
        <f ca="1">IF($AR88&gt;0,$C$5-$AR88,$C$5-'Base Information Sheet'!$B$15)</f>
        <v>2026</v>
      </c>
      <c r="AU88" s="737">
        <f>IF($AR88&gt;0,$AR88+$AS88,'Base Information Sheet'!$B$15+'Physical Condition Assessment'!$AS88)</f>
        <v>25</v>
      </c>
      <c r="AV88" s="738">
        <f ca="1">IF($N88="x",0,IF($AU88&lt;=$C$5,'Physical Condition Assessment'!$AP88,0))</f>
        <v>0</v>
      </c>
      <c r="AW88" s="738">
        <f ca="1">IF(AV88&gt;0,0,IF($N88="x",0,IF(($AU88-6)&lt;$C$5,'Physical Condition Assessment'!$AP88,0)))</f>
        <v>0</v>
      </c>
      <c r="AX88" s="738">
        <f ca="1">IF(SUM(AV88:AW88)&gt;0,0,IF($N88="x",0,IF(($AU88-11)&lt;$C$5,'Physical Condition Assessment'!$AP88,0)))</f>
        <v>0</v>
      </c>
      <c r="AY88" s="738">
        <f ca="1">IF(SUM(AV88:AX88)&gt;0,0,IF($N88="x",0,IF(($AU88-16)&lt;$C$5,'Physical Condition Assessment'!$AP88,0)))</f>
        <v>0</v>
      </c>
    </row>
    <row r="89" spans="1:51" ht="16" thickBot="1" x14ac:dyDescent="0.25">
      <c r="A89" s="755" t="s">
        <v>158</v>
      </c>
      <c r="B89" s="756" t="s">
        <v>188</v>
      </c>
      <c r="C89" s="502" t="s">
        <v>219</v>
      </c>
      <c r="D89" s="502" t="s">
        <v>223</v>
      </c>
      <c r="E89" s="728"/>
      <c r="F89" s="729"/>
      <c r="G89" s="537" t="s">
        <v>41</v>
      </c>
      <c r="H89" s="732"/>
      <c r="I89" s="537" t="s">
        <v>42</v>
      </c>
      <c r="J89" s="732"/>
      <c r="K89" s="537" t="s">
        <v>43</v>
      </c>
      <c r="L89" s="732"/>
      <c r="M89" s="537" t="s">
        <v>44</v>
      </c>
      <c r="N89" s="732"/>
      <c r="O89" s="537" t="s">
        <v>52</v>
      </c>
      <c r="P89" s="2"/>
      <c r="Q89" s="3" t="s">
        <v>52</v>
      </c>
      <c r="R89" s="783"/>
      <c r="S89" s="784">
        <f>'Base Information Sheet'!$B$23*'Physical Condition Assessment'!E89*'PCA Cost Tables - READ ONLY'!P89*'Physical Condition Assessment'!R89*'Base Information Sheet'!$B$38*'Base Information Sheet'!$B$37</f>
        <v>0</v>
      </c>
      <c r="T89" s="786"/>
      <c r="U89" t="s">
        <v>224</v>
      </c>
      <c r="V89" s="502" t="s">
        <v>85</v>
      </c>
      <c r="AE89" s="475" t="s">
        <v>71</v>
      </c>
      <c r="AF89" s="475"/>
      <c r="AG89" s="475" t="s">
        <v>72</v>
      </c>
      <c r="AH89" s="476">
        <f>_xlfn.XLOOKUP($U89,'PCA Cost Tables - READ ONLY'!$E$10:$E$172,'PCA Cost Tables - READ ONLY'!$F$10:$F$172,"BLANK",0)</f>
        <v>0.85137000000000007</v>
      </c>
      <c r="AI89" s="476">
        <f>_xlfn.XLOOKUP($U89,'PCA Cost Tables - READ ONLY'!$E$10:$E$172,'PCA Cost Tables - READ ONLY'!$H$10:$H$172,"BLANK",0)</f>
        <v>1.3098000000000001</v>
      </c>
      <c r="AJ89" s="476">
        <f>_xlfn.XLOOKUP($U89,'PCA Cost Tables - READ ONLY'!$E$10:$E$172,'PCA Cost Tables - READ ONLY'!$J$10:$J$172,"BLANK",0)</f>
        <v>3.2745000000000002</v>
      </c>
      <c r="AK89" s="476">
        <f>_xlfn.XLOOKUP($U89,'PCA Cost Tables - READ ONLY'!$E$10:$E$172,'PCA Cost Tables - READ ONLY'!$L$10:$L$172,"BLANK",0)</f>
        <v>6.2084520000000012</v>
      </c>
      <c r="AL89" s="477" t="str">
        <f>IF($AE89="SF",IF($AF89="X",'Base Information Sheet'!$B$23*'Physical Condition Assessment'!$E89*'Physical Condition Assessment'!$AJ89,"-"))</f>
        <v>-</v>
      </c>
      <c r="AM89" s="477">
        <f>IF($AE89="SF",IF($AG89="X",'Base Information Sheet'!$B$23*'Physical Condition Assessment'!$E89*'Physical Condition Assessment'!$AK89,"-"))</f>
        <v>0</v>
      </c>
      <c r="AN89" s="477" t="b">
        <f>IF($AE89="Unit",IF($AF89="X",'Physical Condition Assessment'!$E89*'Physical Condition Assessment'!$AJ89,"-"))</f>
        <v>0</v>
      </c>
      <c r="AO89" s="477" t="b">
        <f>IF($AE89="Unit",IF($AG89="X",'Physical Condition Assessment'!$E89*'Physical Condition Assessment'!$AK89,"-"))</f>
        <v>0</v>
      </c>
      <c r="AP89" s="477">
        <f t="shared" si="2"/>
        <v>0</v>
      </c>
      <c r="AQ89" s="478" t="e">
        <f t="shared" si="3"/>
        <v>#DIV/0!</v>
      </c>
      <c r="AR89" s="734"/>
      <c r="AS89" s="734">
        <v>25</v>
      </c>
      <c r="AT89" s="737">
        <f ca="1">IF($AR89&gt;0,$C$5-$AR89,$C$5-'Base Information Sheet'!$B$15)</f>
        <v>2026</v>
      </c>
      <c r="AU89" s="737">
        <f>IF($AR89&gt;0,$AR89+$AS89,'Base Information Sheet'!$B$15+'Physical Condition Assessment'!$AS89)</f>
        <v>25</v>
      </c>
      <c r="AV89" s="738">
        <f ca="1">IF($N89="x",0,IF($AU89&lt;=$C$5,'Physical Condition Assessment'!$AP89,0))</f>
        <v>0</v>
      </c>
      <c r="AW89" s="738">
        <f ca="1">IF(AV89&gt;0,0,IF($N89="x",0,IF(($AU89-6)&lt;$C$5,'Physical Condition Assessment'!$AP89,0)))</f>
        <v>0</v>
      </c>
      <c r="AX89" s="738">
        <f ca="1">IF(SUM(AV89:AW89)&gt;0,0,IF($N89="x",0,IF(($AU89-11)&lt;$C$5,'Physical Condition Assessment'!$AP89,0)))</f>
        <v>0</v>
      </c>
      <c r="AY89" s="738">
        <f ca="1">IF(SUM(AV89:AX89)&gt;0,0,IF($N89="x",0,IF(($AU89-16)&lt;$C$5,'Physical Condition Assessment'!$AP89,0)))</f>
        <v>0</v>
      </c>
    </row>
    <row r="90" spans="1:51" ht="16" thickBot="1" x14ac:dyDescent="0.25">
      <c r="A90" s="755" t="s">
        <v>158</v>
      </c>
      <c r="B90" s="756" t="s">
        <v>188</v>
      </c>
      <c r="C90" s="502" t="s">
        <v>219</v>
      </c>
      <c r="D90" s="502" t="s">
        <v>225</v>
      </c>
      <c r="E90" s="728"/>
      <c r="F90" s="729"/>
      <c r="G90" s="537" t="s">
        <v>41</v>
      </c>
      <c r="H90" s="732"/>
      <c r="I90" s="537" t="s">
        <v>42</v>
      </c>
      <c r="J90" s="732"/>
      <c r="K90" s="537" t="s">
        <v>43</v>
      </c>
      <c r="L90" s="732"/>
      <c r="M90" s="537" t="s">
        <v>44</v>
      </c>
      <c r="N90" s="732"/>
      <c r="O90" s="537" t="s">
        <v>52</v>
      </c>
      <c r="P90" s="2"/>
      <c r="Q90" s="3" t="s">
        <v>52</v>
      </c>
      <c r="R90" s="783"/>
      <c r="S90" s="784">
        <f>'Base Information Sheet'!$B$23*'Physical Condition Assessment'!E90*'PCA Cost Tables - READ ONLY'!P90*'Physical Condition Assessment'!R90*'Base Information Sheet'!$B$38*'Base Information Sheet'!$B$37</f>
        <v>0</v>
      </c>
      <c r="T90" s="786"/>
      <c r="U90" t="s">
        <v>226</v>
      </c>
      <c r="V90" s="502" t="s">
        <v>85</v>
      </c>
      <c r="AE90" s="475" t="s">
        <v>71</v>
      </c>
      <c r="AF90" s="475"/>
      <c r="AG90" s="475" t="s">
        <v>72</v>
      </c>
      <c r="AH90" s="476">
        <f>_xlfn.XLOOKUP($U90,'PCA Cost Tables - READ ONLY'!$E$10:$E$172,'PCA Cost Tables - READ ONLY'!$F$10:$F$172,"BLANK",0)</f>
        <v>0.85137000000000007</v>
      </c>
      <c r="AI90" s="476">
        <f>_xlfn.XLOOKUP($U90,'PCA Cost Tables - READ ONLY'!$E$10:$E$172,'PCA Cost Tables - READ ONLY'!$H$10:$H$172,"BLANK",0)</f>
        <v>1.3098000000000001</v>
      </c>
      <c r="AJ90" s="476">
        <f>_xlfn.XLOOKUP($U90,'PCA Cost Tables - READ ONLY'!$E$10:$E$172,'PCA Cost Tables - READ ONLY'!$J$10:$J$172,"BLANK",0)</f>
        <v>3.2745000000000002</v>
      </c>
      <c r="AK90" s="476">
        <f>_xlfn.XLOOKUP($U90,'PCA Cost Tables - READ ONLY'!$E$10:$E$172,'PCA Cost Tables - READ ONLY'!$L$10:$L$172,"BLANK",0)</f>
        <v>6.2084520000000012</v>
      </c>
      <c r="AL90" s="477" t="str">
        <f>IF($AE90="SF",IF($AF90="X",'Base Information Sheet'!$B$23*'Physical Condition Assessment'!$E90*'Physical Condition Assessment'!$AJ90,"-"))</f>
        <v>-</v>
      </c>
      <c r="AM90" s="477">
        <f>IF($AE90="SF",IF($AG90="X",'Base Information Sheet'!$B$23*'Physical Condition Assessment'!$E90*'Physical Condition Assessment'!$AK90,"-"))</f>
        <v>0</v>
      </c>
      <c r="AN90" s="477" t="b">
        <f>IF($AE90="Unit",IF($AF90="X",'Physical Condition Assessment'!$E90*'Physical Condition Assessment'!$AJ90,"-"))</f>
        <v>0</v>
      </c>
      <c r="AO90" s="477" t="b">
        <f>IF($AE90="Unit",IF($AG90="X",'Physical Condition Assessment'!$E90*'Physical Condition Assessment'!$AK90,"-"))</f>
        <v>0</v>
      </c>
      <c r="AP90" s="477">
        <f t="shared" si="2"/>
        <v>0</v>
      </c>
      <c r="AQ90" s="478" t="e">
        <f t="shared" si="3"/>
        <v>#DIV/0!</v>
      </c>
      <c r="AR90" s="734"/>
      <c r="AS90" s="734">
        <v>25</v>
      </c>
      <c r="AT90" s="737">
        <f ca="1">IF($AR90&gt;0,$C$5-$AR90,$C$5-'Base Information Sheet'!$B$15)</f>
        <v>2026</v>
      </c>
      <c r="AU90" s="737">
        <f>IF($AR90&gt;0,$AR90+$AS90,'Base Information Sheet'!$B$15+'Physical Condition Assessment'!$AS90)</f>
        <v>25</v>
      </c>
      <c r="AV90" s="738">
        <f ca="1">IF($N90="x",0,IF($AU90&lt;=$C$5,'Physical Condition Assessment'!$AP90,0))</f>
        <v>0</v>
      </c>
      <c r="AW90" s="738">
        <f ca="1">IF(AV90&gt;0,0,IF($N90="x",0,IF(($AU90-6)&lt;$C$5,'Physical Condition Assessment'!$AP90,0)))</f>
        <v>0</v>
      </c>
      <c r="AX90" s="738">
        <f ca="1">IF(SUM(AV90:AW90)&gt;0,0,IF($N90="x",0,IF(($AU90-11)&lt;$C$5,'Physical Condition Assessment'!$AP90,0)))</f>
        <v>0</v>
      </c>
      <c r="AY90" s="738">
        <f ca="1">IF(SUM(AV90:AX90)&gt;0,0,IF($N90="x",0,IF(($AU90-16)&lt;$C$5,'Physical Condition Assessment'!$AP90,0)))</f>
        <v>0</v>
      </c>
    </row>
    <row r="91" spans="1:51" ht="16" thickBot="1" x14ac:dyDescent="0.25">
      <c r="A91" s="755" t="s">
        <v>158</v>
      </c>
      <c r="B91" s="756" t="s">
        <v>188</v>
      </c>
      <c r="C91" s="502" t="s">
        <v>219</v>
      </c>
      <c r="D91" s="502" t="s">
        <v>227</v>
      </c>
      <c r="E91" s="728"/>
      <c r="F91" s="729"/>
      <c r="G91" s="537" t="s">
        <v>41</v>
      </c>
      <c r="H91" s="732"/>
      <c r="I91" s="537" t="s">
        <v>42</v>
      </c>
      <c r="J91" s="732"/>
      <c r="K91" s="537" t="s">
        <v>43</v>
      </c>
      <c r="L91" s="732"/>
      <c r="M91" s="537" t="s">
        <v>44</v>
      </c>
      <c r="N91" s="732"/>
      <c r="O91" s="537" t="s">
        <v>52</v>
      </c>
      <c r="P91" s="1"/>
      <c r="Q91" s="3"/>
      <c r="R91" s="783"/>
      <c r="S91" s="784">
        <f>'Base Information Sheet'!$B$23*'Physical Condition Assessment'!E91*'PCA Cost Tables - READ ONLY'!P91*'Physical Condition Assessment'!R91*'Base Information Sheet'!$B$38*'Base Information Sheet'!$B$37</f>
        <v>0</v>
      </c>
      <c r="T91" s="786"/>
      <c r="U91" t="s">
        <v>228</v>
      </c>
      <c r="V91" s="502" t="s">
        <v>85</v>
      </c>
      <c r="AE91" s="475" t="s">
        <v>71</v>
      </c>
      <c r="AF91" s="475"/>
      <c r="AG91" s="475" t="s">
        <v>72</v>
      </c>
      <c r="AH91" s="476">
        <f>_xlfn.XLOOKUP($U91,'PCA Cost Tables - READ ONLY'!$E$10:$E$172,'PCA Cost Tables - READ ONLY'!$F$10:$F$172,"BLANK",0)</f>
        <v>0.52392000000000005</v>
      </c>
      <c r="AI91" s="476">
        <f>_xlfn.XLOOKUP($U91,'PCA Cost Tables - READ ONLY'!$E$10:$E$172,'PCA Cost Tables - READ ONLY'!$H$10:$H$172,"BLANK",0)</f>
        <v>0.98234999999999995</v>
      </c>
      <c r="AJ91" s="476">
        <f>_xlfn.XLOOKUP($U91,'PCA Cost Tables - READ ONLY'!$E$10:$E$172,'PCA Cost Tables - READ ONLY'!$J$10:$J$172,"BLANK",0)</f>
        <v>2.6196000000000002</v>
      </c>
      <c r="AK91" s="476">
        <f>_xlfn.XLOOKUP($U91,'PCA Cost Tables - READ ONLY'!$E$10:$E$172,'PCA Cost Tables - READ ONLY'!$L$10:$L$172,"BLANK",0)</f>
        <v>4.2044579999999998</v>
      </c>
      <c r="AL91" s="477" t="str">
        <f>IF($AE91="SF",IF($AF91="X",'Base Information Sheet'!$B$23*'Physical Condition Assessment'!$E91*'Physical Condition Assessment'!$AJ91,"-"))</f>
        <v>-</v>
      </c>
      <c r="AM91" s="477">
        <f>IF($AE91="SF",IF($AG91="X",'Base Information Sheet'!$B$23*'Physical Condition Assessment'!$E91*'Physical Condition Assessment'!$AK91,"-"))</f>
        <v>0</v>
      </c>
      <c r="AN91" s="477" t="b">
        <f>IF($AE91="Unit",IF($AF91="X",'Physical Condition Assessment'!$E91*'Physical Condition Assessment'!$AJ91,"-"))</f>
        <v>0</v>
      </c>
      <c r="AO91" s="477" t="b">
        <f>IF($AE91="Unit",IF($AG91="X",'Physical Condition Assessment'!$E91*'Physical Condition Assessment'!$AK91,"-"))</f>
        <v>0</v>
      </c>
      <c r="AP91" s="477">
        <f t="shared" si="2"/>
        <v>0</v>
      </c>
      <c r="AQ91" s="478" t="e">
        <f t="shared" si="3"/>
        <v>#DIV/0!</v>
      </c>
      <c r="AR91" s="734"/>
      <c r="AS91" s="734">
        <v>25</v>
      </c>
      <c r="AT91" s="737">
        <f ca="1">IF($AR91&gt;0,$C$5-$AR91,$C$5-'Base Information Sheet'!$B$15)</f>
        <v>2026</v>
      </c>
      <c r="AU91" s="737">
        <f>IF($AR91&gt;0,$AR91+$AS91,'Base Information Sheet'!$B$15+'Physical Condition Assessment'!$AS91)</f>
        <v>25</v>
      </c>
      <c r="AV91" s="738">
        <f ca="1">IF($N91="x",0,IF($AU91&lt;=$C$5,'Physical Condition Assessment'!$AP91,0))</f>
        <v>0</v>
      </c>
      <c r="AW91" s="738">
        <f ca="1">IF(AV91&gt;0,0,IF($N91="x",0,IF(($AU91-6)&lt;$C$5,'Physical Condition Assessment'!$AP91,0)))</f>
        <v>0</v>
      </c>
      <c r="AX91" s="738">
        <f ca="1">IF(SUM(AV91:AW91)&gt;0,0,IF($N91="x",0,IF(($AU91-11)&lt;$C$5,'Physical Condition Assessment'!$AP91,0)))</f>
        <v>0</v>
      </c>
      <c r="AY91" s="738">
        <f ca="1">IF(SUM(AV91:AX91)&gt;0,0,IF($N91="x",0,IF(($AU91-16)&lt;$C$5,'Physical Condition Assessment'!$AP91,0)))</f>
        <v>0</v>
      </c>
    </row>
    <row r="92" spans="1:51" x14ac:dyDescent="0.2">
      <c r="A92" s="757" t="s">
        <v>229</v>
      </c>
      <c r="B92" s="761"/>
      <c r="C92" s="95"/>
      <c r="D92" s="95"/>
      <c r="E92" s="763"/>
      <c r="F92" s="758"/>
      <c r="G92" s="759"/>
      <c r="H92" s="758"/>
      <c r="I92" s="759"/>
      <c r="J92" s="758"/>
      <c r="K92" s="759"/>
      <c r="L92" s="758"/>
      <c r="M92" s="759"/>
      <c r="N92" s="758"/>
      <c r="O92" s="759"/>
      <c r="P92" s="758"/>
      <c r="Q92" s="759"/>
      <c r="R92" s="794"/>
      <c r="S92" s="795"/>
      <c r="T92" s="793"/>
      <c r="U92" s="15"/>
      <c r="AE92" s="479"/>
      <c r="AF92" s="480"/>
      <c r="AG92" s="480"/>
      <c r="AH92" s="480"/>
      <c r="AI92" s="480"/>
      <c r="AJ92" s="481"/>
      <c r="AK92" s="481"/>
      <c r="AL92" s="480"/>
      <c r="AM92" s="480"/>
      <c r="AN92" s="480"/>
      <c r="AO92" s="480"/>
      <c r="AP92" s="482"/>
      <c r="AQ92" s="482"/>
      <c r="AR92" s="739"/>
      <c r="AS92" s="739"/>
      <c r="AT92" s="740"/>
      <c r="AU92" s="741"/>
      <c r="AV92" s="741"/>
      <c r="AW92" s="741"/>
      <c r="AX92" s="741"/>
      <c r="AY92" s="742"/>
    </row>
    <row r="93" spans="1:51" ht="16" thickBot="1" x14ac:dyDescent="0.25">
      <c r="A93" s="755"/>
      <c r="B93" s="767" t="s">
        <v>230</v>
      </c>
      <c r="E93" s="769"/>
      <c r="R93" s="796"/>
      <c r="S93" s="503"/>
      <c r="T93" s="788"/>
      <c r="U93"/>
      <c r="AE93" s="485"/>
      <c r="AF93" s="486"/>
      <c r="AG93" s="486"/>
      <c r="AH93" s="486"/>
      <c r="AI93" s="486"/>
      <c r="AJ93" s="487"/>
      <c r="AK93" s="487"/>
      <c r="AL93" s="486"/>
      <c r="AM93" s="486"/>
      <c r="AN93" s="486"/>
      <c r="AO93" s="486"/>
      <c r="AP93" s="488"/>
      <c r="AQ93" s="488"/>
      <c r="AR93" s="743"/>
      <c r="AS93" s="743"/>
      <c r="AT93" s="744"/>
      <c r="AU93" s="745"/>
      <c r="AV93" s="745"/>
      <c r="AW93" s="745"/>
      <c r="AX93" s="745"/>
      <c r="AY93" s="746"/>
    </row>
    <row r="94" spans="1:51" ht="16" thickBot="1" x14ac:dyDescent="0.25">
      <c r="A94" s="755" t="s">
        <v>229</v>
      </c>
      <c r="B94" s="618" t="s">
        <v>230</v>
      </c>
      <c r="C94" s="502" t="s">
        <v>231</v>
      </c>
      <c r="D94" s="765"/>
      <c r="E94" s="730"/>
      <c r="F94" s="729"/>
      <c r="G94" s="537" t="s">
        <v>41</v>
      </c>
      <c r="H94" s="732"/>
      <c r="I94" s="537" t="s">
        <v>42</v>
      </c>
      <c r="J94" s="732"/>
      <c r="K94" s="537" t="s">
        <v>43</v>
      </c>
      <c r="L94" s="732"/>
      <c r="M94" s="537" t="s">
        <v>44</v>
      </c>
      <c r="N94" s="732"/>
      <c r="O94" s="537" t="s">
        <v>52</v>
      </c>
      <c r="P94" s="2"/>
      <c r="Q94" s="3" t="s">
        <v>52</v>
      </c>
      <c r="R94" s="783"/>
      <c r="S94" s="784">
        <f>'Physical Condition Assessment'!E94*'PCA Cost Tables - READ ONLY'!P94*'Physical Condition Assessment'!R94*'Base Information Sheet'!$B$38*'Base Information Sheet'!$B$37</f>
        <v>0</v>
      </c>
      <c r="T94" s="786"/>
      <c r="U94" t="s">
        <v>232</v>
      </c>
      <c r="V94" s="502" t="s">
        <v>85</v>
      </c>
      <c r="AE94" s="475" t="s">
        <v>51</v>
      </c>
      <c r="AF94" s="475"/>
      <c r="AG94" s="475" t="s">
        <v>72</v>
      </c>
      <c r="AH94" s="476">
        <f>_xlfn.XLOOKUP($U94,'PCA Cost Tables - READ ONLY'!$E$10:$E$172,'PCA Cost Tables - READ ONLY'!$F$10:$F$172,"BLANK",0)</f>
        <v>7789.2720000000008</v>
      </c>
      <c r="AI94" s="476">
        <f>_xlfn.XLOOKUP($U94,'PCA Cost Tables - READ ONLY'!$E$10:$E$172,'PCA Cost Tables - READ ONLY'!$H$10:$H$172,"BLANK",0)</f>
        <v>12520.704000000002</v>
      </c>
      <c r="AJ94" s="476">
        <f>_xlfn.XLOOKUP($U94,'PCA Cost Tables - READ ONLY'!$E$10:$E$172,'PCA Cost Tables - READ ONLY'!$J$10:$J$172,"BLANK",0)</f>
        <v>23476.320000000003</v>
      </c>
      <c r="AK94" s="476">
        <f>_xlfn.XLOOKUP($U94,'PCA Cost Tables - READ ONLY'!$E$10:$E$172,'PCA Cost Tables - READ ONLY'!$L$10:$L$172,"BLANK",0)</f>
        <v>84514.752000000008</v>
      </c>
      <c r="AL94" s="477" t="b">
        <f>IF($AE94="SF",IF($AF94="X",'Base Information Sheet'!$B$23*'Physical Condition Assessment'!$E94*'Physical Condition Assessment'!$AJ94,"-"))</f>
        <v>0</v>
      </c>
      <c r="AM94" s="477" t="b">
        <f>IF($AE94="SF",IF($AG94="X",'Base Information Sheet'!$B$23*'Physical Condition Assessment'!$E94*'Physical Condition Assessment'!$AK94,"-"))</f>
        <v>0</v>
      </c>
      <c r="AN94" s="477" t="str">
        <f>IF($AE94="Unit",IF($AF94="X",'Physical Condition Assessment'!$E94*'Physical Condition Assessment'!$AJ94,"-"))</f>
        <v>-</v>
      </c>
      <c r="AO94" s="477">
        <f>IF($AE94="Unit",IF($AG94="X",'Physical Condition Assessment'!$E94*'Physical Condition Assessment'!$AK94,"-"))</f>
        <v>0</v>
      </c>
      <c r="AP94" s="477">
        <f t="shared" si="2"/>
        <v>0</v>
      </c>
      <c r="AQ94" s="478" t="e">
        <f t="shared" si="3"/>
        <v>#DIV/0!</v>
      </c>
      <c r="AR94" s="734"/>
      <c r="AS94" s="734">
        <v>50</v>
      </c>
      <c r="AT94" s="737">
        <f ca="1">IF($AR94&gt;0,$C$5-$AR94,$C$5-'Base Information Sheet'!$B$15)</f>
        <v>2026</v>
      </c>
      <c r="AU94" s="737">
        <f>IF($AR94&gt;0,$AR94+$AS94,'Base Information Sheet'!$B$15+'Physical Condition Assessment'!$AS94)</f>
        <v>50</v>
      </c>
      <c r="AV94" s="738">
        <f ca="1">IF($N94="x",0,IF($AU94&lt;=$C$5,'Physical Condition Assessment'!$AP94,0))</f>
        <v>0</v>
      </c>
      <c r="AW94" s="738">
        <f ca="1">IF(AV94&gt;0,0,IF($N94="x",0,IF(($AU94-6)&lt;$C$5,'Physical Condition Assessment'!$AP94,0)))</f>
        <v>0</v>
      </c>
      <c r="AX94" s="738">
        <f ca="1">IF(SUM(AV94:AW94)&gt;0,0,IF($N94="x",0,IF(($AU94-11)&lt;$C$5,'Physical Condition Assessment'!$AP94,0)))</f>
        <v>0</v>
      </c>
      <c r="AY94" s="738">
        <f ca="1">IF(SUM(AV94:AX94)&gt;0,0,IF($N94="x",0,IF(($AU94-16)&lt;$C$5,'Physical Condition Assessment'!$AP94,0)))</f>
        <v>0</v>
      </c>
    </row>
    <row r="95" spans="1:51" ht="16" thickBot="1" x14ac:dyDescent="0.25">
      <c r="A95" s="755" t="s">
        <v>229</v>
      </c>
      <c r="B95" s="756" t="s">
        <v>230</v>
      </c>
      <c r="C95" s="502" t="s">
        <v>233</v>
      </c>
      <c r="D95" s="765"/>
      <c r="E95" s="730"/>
      <c r="F95" s="729"/>
      <c r="G95" s="537" t="s">
        <v>41</v>
      </c>
      <c r="H95" s="732"/>
      <c r="I95" s="537" t="s">
        <v>42</v>
      </c>
      <c r="J95" s="732"/>
      <c r="K95" s="537" t="s">
        <v>43</v>
      </c>
      <c r="L95" s="732"/>
      <c r="M95" s="537" t="s">
        <v>44</v>
      </c>
      <c r="N95" s="732"/>
      <c r="O95" s="537" t="s">
        <v>52</v>
      </c>
      <c r="P95" s="2"/>
      <c r="Q95" s="3" t="s">
        <v>52</v>
      </c>
      <c r="R95" s="783"/>
      <c r="S95" s="784">
        <f>'Physical Condition Assessment'!E95*'PCA Cost Tables - READ ONLY'!P95*'Physical Condition Assessment'!R95*'Base Information Sheet'!$B$38*'Base Information Sheet'!$B$37</f>
        <v>0</v>
      </c>
      <c r="T95" s="786"/>
      <c r="U95" t="s">
        <v>234</v>
      </c>
      <c r="V95" s="502" t="s">
        <v>85</v>
      </c>
      <c r="AE95" s="475" t="s">
        <v>51</v>
      </c>
      <c r="AF95" s="475"/>
      <c r="AG95" s="475" t="s">
        <v>72</v>
      </c>
      <c r="AH95" s="476">
        <f>_xlfn.XLOOKUP($U95,'PCA Cost Tables - READ ONLY'!$E$10:$E$172,'PCA Cost Tables - READ ONLY'!$F$10:$F$172,"BLANK",0)</f>
        <v>5322.4500000000007</v>
      </c>
      <c r="AI95" s="476">
        <f>_xlfn.XLOOKUP($U95,'PCA Cost Tables - READ ONLY'!$E$10:$E$172,'PCA Cost Tables - READ ONLY'!$H$10:$H$172,"BLANK",0)</f>
        <v>15835.008000000002</v>
      </c>
      <c r="AJ95" s="476">
        <f>_xlfn.XLOOKUP($U95,'PCA Cost Tables - READ ONLY'!$E$10:$E$172,'PCA Cost Tables - READ ONLY'!$J$10:$J$172,"BLANK",0)</f>
        <v>156692.92800000001</v>
      </c>
      <c r="AK95" s="476">
        <f>_xlfn.XLOOKUP($U95,'PCA Cost Tables - READ ONLY'!$E$10:$E$172,'PCA Cost Tables - READ ONLY'!$L$10:$L$172,"BLANK",0)</f>
        <v>172137.76</v>
      </c>
      <c r="AL95" s="477" t="b">
        <f>IF($AE95="SF",IF($AF95="X",'Base Information Sheet'!$B$23*'Physical Condition Assessment'!$E95*'Physical Condition Assessment'!$AJ95,"-"))</f>
        <v>0</v>
      </c>
      <c r="AM95" s="477" t="b">
        <f>IF($AE95="SF",IF($AG95="X",'Base Information Sheet'!$B$23*'Physical Condition Assessment'!$E95*'Physical Condition Assessment'!$AK95,"-"))</f>
        <v>0</v>
      </c>
      <c r="AN95" s="477" t="str">
        <f>IF($AE95="Unit",IF($AF95="X",'Physical Condition Assessment'!$E95*'Physical Condition Assessment'!$AJ95,"-"))</f>
        <v>-</v>
      </c>
      <c r="AO95" s="477">
        <f>IF($AE95="Unit",IF($AG95="X",'Physical Condition Assessment'!$E95*'Physical Condition Assessment'!$AK95,"-"))</f>
        <v>0</v>
      </c>
      <c r="AP95" s="477">
        <f t="shared" si="2"/>
        <v>0</v>
      </c>
      <c r="AQ95" s="478" t="e">
        <f t="shared" si="3"/>
        <v>#DIV/0!</v>
      </c>
      <c r="AR95" s="734"/>
      <c r="AS95" s="734">
        <v>20</v>
      </c>
      <c r="AT95" s="737">
        <f ca="1">IF($AR95&gt;0,$C$5-$AR95,$C$5-'Base Information Sheet'!$B$15)</f>
        <v>2026</v>
      </c>
      <c r="AU95" s="737">
        <f>IF($AR95&gt;0,$AR95+$AS95,'Base Information Sheet'!$B$15+'Physical Condition Assessment'!$AS95)</f>
        <v>20</v>
      </c>
      <c r="AV95" s="738">
        <f ca="1">IF($N95="x",0,IF($AU95&lt;=$C$5,'Physical Condition Assessment'!$AP95,0))</f>
        <v>0</v>
      </c>
      <c r="AW95" s="738">
        <f ca="1">IF(AV95&gt;0,0,IF($N95="x",0,IF(($AU95-6)&lt;$C$5,'Physical Condition Assessment'!$AP95,0)))</f>
        <v>0</v>
      </c>
      <c r="AX95" s="738">
        <f ca="1">IF(SUM(AV95:AW95)&gt;0,0,IF($N95="x",0,IF(($AU95-11)&lt;$C$5,'Physical Condition Assessment'!$AP95,0)))</f>
        <v>0</v>
      </c>
      <c r="AY95" s="738">
        <f ca="1">IF(SUM(AV95:AX95)&gt;0,0,IF($N95="x",0,IF(($AU95-16)&lt;$C$5,'Physical Condition Assessment'!$AP95,0)))</f>
        <v>0</v>
      </c>
    </row>
    <row r="96" spans="1:51" ht="16" thickBot="1" x14ac:dyDescent="0.25">
      <c r="A96" s="755" t="s">
        <v>229</v>
      </c>
      <c r="B96" s="756" t="s">
        <v>230</v>
      </c>
      <c r="C96" s="502" t="s">
        <v>235</v>
      </c>
      <c r="D96" s="765"/>
      <c r="E96" s="730"/>
      <c r="F96" s="729"/>
      <c r="G96" s="537" t="s">
        <v>41</v>
      </c>
      <c r="H96" s="732"/>
      <c r="I96" s="537" t="s">
        <v>42</v>
      </c>
      <c r="J96" s="732"/>
      <c r="K96" s="537" t="s">
        <v>43</v>
      </c>
      <c r="L96" s="732"/>
      <c r="M96" s="537" t="s">
        <v>44</v>
      </c>
      <c r="N96" s="732"/>
      <c r="O96" s="537" t="s">
        <v>52</v>
      </c>
      <c r="P96" s="2"/>
      <c r="Q96" s="3" t="s">
        <v>52</v>
      </c>
      <c r="R96" s="783"/>
      <c r="S96" s="784">
        <f>'Physical Condition Assessment'!E96*'PCA Cost Tables - READ ONLY'!P96*'Physical Condition Assessment'!R96*'Base Information Sheet'!$B$38*'Base Information Sheet'!$B$37</f>
        <v>0</v>
      </c>
      <c r="T96" s="786"/>
      <c r="U96" t="s">
        <v>236</v>
      </c>
      <c r="V96" s="502" t="s">
        <v>85</v>
      </c>
      <c r="AE96" s="475" t="s">
        <v>51</v>
      </c>
      <c r="AF96" s="475"/>
      <c r="AG96" s="475" t="s">
        <v>72</v>
      </c>
      <c r="AH96" s="476">
        <f>_xlfn.XLOOKUP($U96,'PCA Cost Tables - READ ONLY'!$E$10:$E$172,'PCA Cost Tables - READ ONLY'!$F$10:$F$172,"BLANK",0)</f>
        <v>1520.7</v>
      </c>
      <c r="AI96" s="476">
        <f>_xlfn.XLOOKUP($U96,'PCA Cost Tables - READ ONLY'!$E$10:$E$172,'PCA Cost Tables - READ ONLY'!$H$10:$H$172,"BLANK",0)</f>
        <v>6260.3520000000008</v>
      </c>
      <c r="AJ96" s="476">
        <f>_xlfn.XLOOKUP($U96,'PCA Cost Tables - READ ONLY'!$E$10:$E$172,'PCA Cost Tables - READ ONLY'!$J$10:$J$172,"BLANK",0)</f>
        <v>38017.500000000007</v>
      </c>
      <c r="AK96" s="476">
        <f>_xlfn.XLOOKUP($U96,'PCA Cost Tables - READ ONLY'!$E$10:$E$172,'PCA Cost Tables - READ ONLY'!$L$10:$L$172,"BLANK",0)</f>
        <v>41100</v>
      </c>
      <c r="AL96" s="477" t="b">
        <f>IF($AE96="SF",IF($AF96="X",'Base Information Sheet'!$B$23*'Physical Condition Assessment'!$E96*'Physical Condition Assessment'!$AJ96,"-"))</f>
        <v>0</v>
      </c>
      <c r="AM96" s="477" t="b">
        <f>IF($AE96="SF",IF($AG96="X",'Base Information Sheet'!$B$23*'Physical Condition Assessment'!$E96*'Physical Condition Assessment'!$AK96,"-"))</f>
        <v>0</v>
      </c>
      <c r="AN96" s="477" t="str">
        <f>IF($AE96="Unit",IF($AF96="X",'Physical Condition Assessment'!$E96*'Physical Condition Assessment'!$AJ96,"-"))</f>
        <v>-</v>
      </c>
      <c r="AO96" s="477">
        <f>IF($AE96="Unit",IF($AG96="X",'Physical Condition Assessment'!$E96*'Physical Condition Assessment'!$AK96,"-"))</f>
        <v>0</v>
      </c>
      <c r="AP96" s="477">
        <f t="shared" si="2"/>
        <v>0</v>
      </c>
      <c r="AQ96" s="478" t="e">
        <f t="shared" si="3"/>
        <v>#DIV/0!</v>
      </c>
      <c r="AR96" s="734"/>
      <c r="AS96" s="734">
        <v>25</v>
      </c>
      <c r="AT96" s="737">
        <f ca="1">IF($AR96&gt;0,$C$5-$AR96,$C$5-'Base Information Sheet'!$B$15)</f>
        <v>2026</v>
      </c>
      <c r="AU96" s="737">
        <f>IF($AR96&gt;0,$AR96+$AS96,'Base Information Sheet'!$B$15+'Physical Condition Assessment'!$AS96)</f>
        <v>25</v>
      </c>
      <c r="AV96" s="738">
        <f ca="1">IF($N96="x",0,IF($AU96&lt;=$C$5,'Physical Condition Assessment'!$AP96,0))</f>
        <v>0</v>
      </c>
      <c r="AW96" s="738">
        <f ca="1">IF(AV96&gt;0,0,IF($N96="x",0,IF(($AU96-6)&lt;$C$5,'Physical Condition Assessment'!$AP96,0)))</f>
        <v>0</v>
      </c>
      <c r="AX96" s="738">
        <f ca="1">IF(SUM(AV96:AW96)&gt;0,0,IF($N96="x",0,IF(($AU96-11)&lt;$C$5,'Physical Condition Assessment'!$AP96,0)))</f>
        <v>0</v>
      </c>
      <c r="AY96" s="738">
        <f ca="1">IF(SUM(AV96:AX96)&gt;0,0,IF($N96="x",0,IF(($AU96-16)&lt;$C$5,'Physical Condition Assessment'!$AP96,0)))</f>
        <v>0</v>
      </c>
    </row>
    <row r="97" spans="1:51" ht="16" thickBot="1" x14ac:dyDescent="0.25">
      <c r="A97" s="755"/>
      <c r="B97" s="767" t="s">
        <v>237</v>
      </c>
      <c r="E97" s="769"/>
      <c r="R97" s="796"/>
      <c r="S97" s="503"/>
      <c r="T97" s="788"/>
      <c r="U97"/>
      <c r="AE97" s="491"/>
      <c r="AF97" s="492"/>
      <c r="AG97" s="492"/>
      <c r="AH97" s="492"/>
      <c r="AI97" s="492"/>
      <c r="AJ97" s="493"/>
      <c r="AK97" s="493"/>
      <c r="AL97" s="492"/>
      <c r="AM97" s="492"/>
      <c r="AN97" s="492"/>
      <c r="AO97" s="492"/>
      <c r="AP97" s="494"/>
      <c r="AQ97" s="494"/>
      <c r="AR97" s="747"/>
      <c r="AS97" s="747"/>
      <c r="AT97" s="748"/>
      <c r="AU97" s="749"/>
      <c r="AV97" s="749"/>
      <c r="AW97" s="749"/>
      <c r="AX97" s="749"/>
      <c r="AY97" s="750"/>
    </row>
    <row r="98" spans="1:51" ht="16" thickBot="1" x14ac:dyDescent="0.25">
      <c r="A98" s="755" t="s">
        <v>229</v>
      </c>
      <c r="B98" s="618" t="s">
        <v>237</v>
      </c>
      <c r="C98" s="502" t="s">
        <v>238</v>
      </c>
      <c r="D98" s="771"/>
      <c r="E98" s="730"/>
      <c r="F98" s="729"/>
      <c r="G98" s="537" t="s">
        <v>41</v>
      </c>
      <c r="H98" s="732"/>
      <c r="I98" s="537" t="s">
        <v>42</v>
      </c>
      <c r="J98" s="732"/>
      <c r="K98" s="537" t="s">
        <v>43</v>
      </c>
      <c r="L98" s="732"/>
      <c r="M98" s="537" t="s">
        <v>44</v>
      </c>
      <c r="N98" s="732"/>
      <c r="O98" s="537" t="s">
        <v>52</v>
      </c>
      <c r="P98" s="2"/>
      <c r="Q98" s="3" t="s">
        <v>52</v>
      </c>
      <c r="R98" s="783"/>
      <c r="S98" s="784">
        <f>'Physical Condition Assessment'!E98*'PCA Cost Tables - READ ONLY'!P98*'Physical Condition Assessment'!R98*'Base Information Sheet'!$B$38*'Base Information Sheet'!$B$37</f>
        <v>0</v>
      </c>
      <c r="T98" s="786"/>
      <c r="U98" t="s">
        <v>239</v>
      </c>
      <c r="V98" s="502" t="s">
        <v>240</v>
      </c>
      <c r="AE98" s="475" t="s">
        <v>51</v>
      </c>
      <c r="AF98" s="475"/>
      <c r="AG98" s="475" t="s">
        <v>72</v>
      </c>
      <c r="AH98" s="476">
        <f>_xlfn.XLOOKUP($U98,'PCA Cost Tables - READ ONLY'!$E$10:$E$172,'PCA Cost Tables - READ ONLY'!$F$10:$F$172,"BLANK",0)</f>
        <v>130.98000000000002</v>
      </c>
      <c r="AI98" s="476">
        <f>_xlfn.XLOOKUP($U98,'PCA Cost Tables - READ ONLY'!$E$10:$E$172,'PCA Cost Tables - READ ONLY'!$H$10:$H$172,"BLANK",0)</f>
        <v>654.9</v>
      </c>
      <c r="AJ98" s="476">
        <f>_xlfn.XLOOKUP($U98,'PCA Cost Tables - READ ONLY'!$E$10:$E$172,'PCA Cost Tables - READ ONLY'!$J$10:$J$172,"BLANK",0)</f>
        <v>1964.7000000000003</v>
      </c>
      <c r="AK98" s="476">
        <f>_xlfn.XLOOKUP($U98,'PCA Cost Tables - READ ONLY'!$E$10:$E$172,'PCA Cost Tables - READ ONLY'!$L$10:$L$172,"BLANK",0)</f>
        <v>3929.4000000000005</v>
      </c>
      <c r="AL98" s="477" t="b">
        <f>IF($AE98="SF",IF($AF98="X",'Base Information Sheet'!$B$23*'Physical Condition Assessment'!$E98*'Physical Condition Assessment'!$AJ98,"-"))</f>
        <v>0</v>
      </c>
      <c r="AM98" s="477" t="b">
        <f>IF($AE98="SF",IF($AG98="X",'Base Information Sheet'!$B$23*'Physical Condition Assessment'!$E98*'Physical Condition Assessment'!$AK98,"-"))</f>
        <v>0</v>
      </c>
      <c r="AN98" s="477" t="str">
        <f>IF($AE98="Unit",IF($AF98="X",'Physical Condition Assessment'!$E98*'Physical Condition Assessment'!$AJ98,"-"))</f>
        <v>-</v>
      </c>
      <c r="AO98" s="477">
        <f>IF($AE98="Unit",IF($AG98="X",'Physical Condition Assessment'!$E98*'Physical Condition Assessment'!$AK98,"-"))</f>
        <v>0</v>
      </c>
      <c r="AP98" s="477">
        <f t="shared" si="2"/>
        <v>0</v>
      </c>
      <c r="AQ98" s="478" t="e">
        <f t="shared" si="3"/>
        <v>#DIV/0!</v>
      </c>
      <c r="AR98" s="734"/>
      <c r="AS98" s="734">
        <v>15</v>
      </c>
      <c r="AT98" s="737">
        <f ca="1">IF($AR98&gt;0,$C$5-$AR98,$C$5-'Base Information Sheet'!$B$15)</f>
        <v>2026</v>
      </c>
      <c r="AU98" s="737">
        <f>IF($AR98&gt;0,$AR98+$AS98,'Base Information Sheet'!$B$15+'Physical Condition Assessment'!$AS98)</f>
        <v>15</v>
      </c>
      <c r="AV98" s="738">
        <f ca="1">IF($N98="x",0,IF($AU98&lt;=$C$5,'Physical Condition Assessment'!$AP98,0))</f>
        <v>0</v>
      </c>
      <c r="AW98" s="738">
        <f ca="1">IF(AV98&gt;0,0,IF($N98="x",0,IF(($AU98-6)&lt;$C$5,'Physical Condition Assessment'!$AP98,0)))</f>
        <v>0</v>
      </c>
      <c r="AX98" s="738">
        <f ca="1">IF(SUM(AV98:AW98)&gt;0,0,IF($N98="x",0,IF(($AU98-11)&lt;$C$5,'Physical Condition Assessment'!$AP98,0)))</f>
        <v>0</v>
      </c>
      <c r="AY98" s="738">
        <f ca="1">IF(SUM(AV98:AX98)&gt;0,0,IF($N98="x",0,IF(($AU98-16)&lt;$C$5,'Physical Condition Assessment'!$AP98,0)))</f>
        <v>0</v>
      </c>
    </row>
    <row r="99" spans="1:51" ht="16" thickBot="1" x14ac:dyDescent="0.25">
      <c r="A99" s="755" t="s">
        <v>229</v>
      </c>
      <c r="B99" s="756" t="s">
        <v>237</v>
      </c>
      <c r="C99" s="502" t="s">
        <v>241</v>
      </c>
      <c r="D99" s="771"/>
      <c r="E99" s="728"/>
      <c r="F99" s="729"/>
      <c r="G99" s="537" t="s">
        <v>41</v>
      </c>
      <c r="H99" s="732"/>
      <c r="I99" s="537" t="s">
        <v>42</v>
      </c>
      <c r="J99" s="732"/>
      <c r="K99" s="537" t="s">
        <v>43</v>
      </c>
      <c r="L99" s="732"/>
      <c r="M99" s="537" t="s">
        <v>44</v>
      </c>
      <c r="N99" s="732"/>
      <c r="O99" s="537" t="s">
        <v>52</v>
      </c>
      <c r="P99" s="2"/>
      <c r="Q99" s="3"/>
      <c r="R99" s="783"/>
      <c r="S99" s="784">
        <f>'Base Information Sheet'!$B$23*'Physical Condition Assessment'!E99*'PCA Cost Tables - READ ONLY'!P99*'Physical Condition Assessment'!R99*'Base Information Sheet'!$B$38*'Base Information Sheet'!$B$37</f>
        <v>0</v>
      </c>
      <c r="T99" s="786"/>
      <c r="U99" t="s">
        <v>242</v>
      </c>
      <c r="V99" s="502" t="s">
        <v>240</v>
      </c>
      <c r="AE99" s="475" t="s">
        <v>71</v>
      </c>
      <c r="AF99" s="475"/>
      <c r="AG99" s="475" t="s">
        <v>72</v>
      </c>
      <c r="AH99" s="476">
        <f>_xlfn.XLOOKUP($U99,'PCA Cost Tables - READ ONLY'!$E$10:$E$172,'PCA Cost Tables - READ ONLY'!$F$10:$F$172,"BLANK",0)</f>
        <v>1.6110540000000002</v>
      </c>
      <c r="AI99" s="476">
        <f>_xlfn.XLOOKUP($U99,'PCA Cost Tables - READ ONLY'!$E$10:$E$172,'PCA Cost Tables - READ ONLY'!$H$10:$H$172,"BLANK",0)</f>
        <v>2.2004639999999998</v>
      </c>
      <c r="AJ99" s="476">
        <f>_xlfn.XLOOKUP($U99,'PCA Cost Tables - READ ONLY'!$E$10:$E$172,'PCA Cost Tables - READ ONLY'!$J$10:$J$172,"BLANK",0)</f>
        <v>9.535344000000002</v>
      </c>
      <c r="AK99" s="476">
        <f>_xlfn.XLOOKUP($U99,'PCA Cost Tables - READ ONLY'!$E$10:$E$172,'PCA Cost Tables - READ ONLY'!$L$10:$L$172,"BLANK",0)</f>
        <v>15.717599999999999</v>
      </c>
      <c r="AL99" s="477" t="str">
        <f>IF($AE99="SF",IF($AF99="X",'Base Information Sheet'!$B$23*'Physical Condition Assessment'!$E99*'Physical Condition Assessment'!$AJ99,"-"))</f>
        <v>-</v>
      </c>
      <c r="AM99" s="477">
        <f>IF($AE99="SF",IF($AG99="X",'Base Information Sheet'!$B$23*'Physical Condition Assessment'!$E99*'Physical Condition Assessment'!$AK99,"-"))</f>
        <v>0</v>
      </c>
      <c r="AN99" s="477" t="b">
        <f>IF($AE99="Unit",IF($AF99="X",'Physical Condition Assessment'!$E99*'Physical Condition Assessment'!$AJ99,"-"))</f>
        <v>0</v>
      </c>
      <c r="AO99" s="477" t="b">
        <f>IF($AE99="Unit",IF($AG99="X",'Physical Condition Assessment'!$E99*'Physical Condition Assessment'!$AK99,"-"))</f>
        <v>0</v>
      </c>
      <c r="AP99" s="477">
        <f t="shared" si="2"/>
        <v>0</v>
      </c>
      <c r="AQ99" s="478" t="e">
        <f t="shared" si="3"/>
        <v>#DIV/0!</v>
      </c>
      <c r="AR99" s="734"/>
      <c r="AS99" s="734">
        <v>20</v>
      </c>
      <c r="AT99" s="737">
        <f ca="1">IF($AR99&gt;0,$C$5-$AR99,$C$5-'Base Information Sheet'!$B$15)</f>
        <v>2026</v>
      </c>
      <c r="AU99" s="737">
        <f>IF($AR99&gt;0,$AR99+$AS99,'Base Information Sheet'!$B$15+'Physical Condition Assessment'!$AS99)</f>
        <v>20</v>
      </c>
      <c r="AV99" s="738">
        <f ca="1">IF($N99="x",0,IF($AU99&lt;=$C$5,'Physical Condition Assessment'!$AP99,0))</f>
        <v>0</v>
      </c>
      <c r="AW99" s="738">
        <f ca="1">IF(AV99&gt;0,0,IF($N99="x",0,IF(($AU99-6)&lt;$C$5,'Physical Condition Assessment'!$AP99,0)))</f>
        <v>0</v>
      </c>
      <c r="AX99" s="738">
        <f ca="1">IF(SUM(AV99:AW99)&gt;0,0,IF($N99="x",0,IF(($AU99-11)&lt;$C$5,'Physical Condition Assessment'!$AP99,0)))</f>
        <v>0</v>
      </c>
      <c r="AY99" s="738">
        <f ca="1">IF(SUM(AV99:AX99)&gt;0,0,IF($N99="x",0,IF(($AU99-16)&lt;$C$5,'Physical Condition Assessment'!$AP99,0)))</f>
        <v>0</v>
      </c>
    </row>
    <row r="100" spans="1:51" ht="16" thickBot="1" x14ac:dyDescent="0.25">
      <c r="A100" s="755" t="s">
        <v>229</v>
      </c>
      <c r="B100" s="756" t="s">
        <v>237</v>
      </c>
      <c r="C100" s="502" t="s">
        <v>243</v>
      </c>
      <c r="D100" s="771"/>
      <c r="E100" s="728"/>
      <c r="F100" s="729"/>
      <c r="G100" s="537" t="s">
        <v>41</v>
      </c>
      <c r="H100" s="732"/>
      <c r="I100" s="537" t="s">
        <v>42</v>
      </c>
      <c r="J100" s="732"/>
      <c r="K100" s="537" t="s">
        <v>43</v>
      </c>
      <c r="L100" s="732"/>
      <c r="M100" s="537" t="s">
        <v>44</v>
      </c>
      <c r="N100" s="732"/>
      <c r="O100" s="537" t="s">
        <v>52</v>
      </c>
      <c r="P100" s="2"/>
      <c r="Q100" s="3" t="s">
        <v>52</v>
      </c>
      <c r="R100" s="783"/>
      <c r="S100" s="784">
        <f>'Base Information Sheet'!$B$23*'Physical Condition Assessment'!E100*'PCA Cost Tables - READ ONLY'!P100*'Physical Condition Assessment'!R100*'Base Information Sheet'!$B$38*'Base Information Sheet'!$B$37</f>
        <v>0</v>
      </c>
      <c r="T100" s="786"/>
      <c r="U100" t="s">
        <v>244</v>
      </c>
      <c r="V100" s="502" t="s">
        <v>240</v>
      </c>
      <c r="AE100" s="475" t="s">
        <v>71</v>
      </c>
      <c r="AF100" s="475"/>
      <c r="AG100" s="475" t="s">
        <v>72</v>
      </c>
      <c r="AH100" s="476">
        <f>_xlfn.XLOOKUP($U100,'PCA Cost Tables - READ ONLY'!$E$10:$E$172,'PCA Cost Tables - READ ONLY'!$F$10:$F$172,"BLANK",0)</f>
        <v>0.65490000000000004</v>
      </c>
      <c r="AI100" s="476">
        <f>_xlfn.XLOOKUP($U100,'PCA Cost Tables - READ ONLY'!$E$10:$E$172,'PCA Cost Tables - READ ONLY'!$H$10:$H$172,"BLANK",0)</f>
        <v>2.0563860000000003</v>
      </c>
      <c r="AJ100" s="476">
        <f>_xlfn.XLOOKUP($U100,'PCA Cost Tables - READ ONLY'!$E$10:$E$172,'PCA Cost Tables - READ ONLY'!$J$10:$J$172,"BLANK",0)</f>
        <v>2.42313</v>
      </c>
      <c r="AK100" s="476">
        <f>_xlfn.XLOOKUP($U100,'PCA Cost Tables - READ ONLY'!$E$10:$E$172,'PCA Cost Tables - READ ONLY'!$L$10:$L$172,"BLANK",0)</f>
        <v>2.7112859999999999</v>
      </c>
      <c r="AL100" s="477" t="str">
        <f>IF($AE100="SF",IF($AF100="X",'Base Information Sheet'!$B$23*'Physical Condition Assessment'!$E100*'Physical Condition Assessment'!$AJ100,"-"))</f>
        <v>-</v>
      </c>
      <c r="AM100" s="477">
        <f>IF($AE100="SF",IF($AG100="X",'Base Information Sheet'!$B$23*'Physical Condition Assessment'!$E100*'Physical Condition Assessment'!$AK100,"-"))</f>
        <v>0</v>
      </c>
      <c r="AN100" s="477" t="b">
        <f>IF($AE100="Unit",IF($AF100="X",'Physical Condition Assessment'!$E100*'Physical Condition Assessment'!$AJ100,"-"))</f>
        <v>0</v>
      </c>
      <c r="AO100" s="477" t="b">
        <f>IF($AE100="Unit",IF($AG100="X",'Physical Condition Assessment'!$E100*'Physical Condition Assessment'!$AK100,"-"))</f>
        <v>0</v>
      </c>
      <c r="AP100" s="477">
        <f t="shared" si="2"/>
        <v>0</v>
      </c>
      <c r="AQ100" s="478" t="e">
        <f t="shared" si="3"/>
        <v>#DIV/0!</v>
      </c>
      <c r="AR100" s="734"/>
      <c r="AS100" s="734">
        <v>20</v>
      </c>
      <c r="AT100" s="737">
        <f ca="1">IF($AR100&gt;0,$C$5-$AR100,$C$5-'Base Information Sheet'!$B$15)</f>
        <v>2026</v>
      </c>
      <c r="AU100" s="737">
        <f>IF($AR100&gt;0,$AR100+$AS100,'Base Information Sheet'!$B$15+'Physical Condition Assessment'!$AS100)</f>
        <v>20</v>
      </c>
      <c r="AV100" s="738">
        <f ca="1">IF($N100="x",0,IF($AU100&lt;=$C$5,'Physical Condition Assessment'!$AP100,0))</f>
        <v>0</v>
      </c>
      <c r="AW100" s="738">
        <f ca="1">IF(AV100&gt;0,0,IF($N100="x",0,IF(($AU100-6)&lt;$C$5,'Physical Condition Assessment'!$AP100,0)))</f>
        <v>0</v>
      </c>
      <c r="AX100" s="738">
        <f ca="1">IF(SUM(AV100:AW100)&gt;0,0,IF($N100="x",0,IF(($AU100-11)&lt;$C$5,'Physical Condition Assessment'!$AP100,0)))</f>
        <v>0</v>
      </c>
      <c r="AY100" s="738">
        <f ca="1">IF(SUM(AV100:AX100)&gt;0,0,IF($N100="x",0,IF(($AU100-16)&lt;$C$5,'Physical Condition Assessment'!$AP100,0)))</f>
        <v>0</v>
      </c>
    </row>
    <row r="101" spans="1:51" ht="16" thickBot="1" x14ac:dyDescent="0.25">
      <c r="A101" s="755" t="s">
        <v>229</v>
      </c>
      <c r="B101" s="756" t="s">
        <v>237</v>
      </c>
      <c r="C101" s="768" t="s">
        <v>245</v>
      </c>
      <c r="D101" s="771"/>
      <c r="E101" s="728"/>
      <c r="F101" s="729"/>
      <c r="G101" s="537" t="s">
        <v>41</v>
      </c>
      <c r="H101" s="732"/>
      <c r="I101" s="537" t="s">
        <v>42</v>
      </c>
      <c r="J101" s="732"/>
      <c r="K101" s="537" t="s">
        <v>43</v>
      </c>
      <c r="L101" s="732"/>
      <c r="M101" s="537" t="s">
        <v>44</v>
      </c>
      <c r="N101" s="732"/>
      <c r="O101" s="537" t="s">
        <v>52</v>
      </c>
      <c r="P101" s="2"/>
      <c r="Q101" s="3" t="s">
        <v>52</v>
      </c>
      <c r="R101" s="783"/>
      <c r="S101" s="784">
        <f>'Base Information Sheet'!$B$23*'Physical Condition Assessment'!E101*'PCA Cost Tables - READ ONLY'!P101*'Physical Condition Assessment'!R101*'Base Information Sheet'!$B$38*'Base Information Sheet'!$B$37</f>
        <v>0</v>
      </c>
      <c r="T101" s="786"/>
      <c r="U101" t="s">
        <v>246</v>
      </c>
      <c r="V101" s="502" t="s">
        <v>240</v>
      </c>
      <c r="AE101" s="475" t="s">
        <v>71</v>
      </c>
      <c r="AF101" s="475"/>
      <c r="AG101" s="475" t="s">
        <v>72</v>
      </c>
      <c r="AH101" s="476">
        <f>_xlfn.XLOOKUP($U101,'PCA Cost Tables - READ ONLY'!$E$10:$E$172,'PCA Cost Tables - READ ONLY'!$F$10:$F$172,"BLANK",0)</f>
        <v>0.39294000000000001</v>
      </c>
      <c r="AI101" s="476">
        <f>_xlfn.XLOOKUP($U101,'PCA Cost Tables - READ ONLY'!$E$10:$E$172,'PCA Cost Tables - READ ONLY'!$H$10:$H$172,"BLANK",0)</f>
        <v>1.3228980000000001</v>
      </c>
      <c r="AJ101" s="476">
        <f>_xlfn.XLOOKUP($U101,'PCA Cost Tables - READ ONLY'!$E$10:$E$172,'PCA Cost Tables - READ ONLY'!$J$10:$J$172,"BLANK",0)</f>
        <v>2.42313</v>
      </c>
      <c r="AK101" s="476">
        <f>_xlfn.XLOOKUP($U101,'PCA Cost Tables - READ ONLY'!$E$10:$E$172,'PCA Cost Tables - READ ONLY'!$L$10:$L$172,"BLANK",0)</f>
        <v>3.07803</v>
      </c>
      <c r="AL101" s="477" t="str">
        <f>IF($AE101="SF",IF($AF101="X",'Base Information Sheet'!$B$23*'Physical Condition Assessment'!$E101*'Physical Condition Assessment'!$AJ101,"-"))</f>
        <v>-</v>
      </c>
      <c r="AM101" s="477">
        <f>IF($AE101="SF",IF($AG101="X",'Base Information Sheet'!$B$23*'Physical Condition Assessment'!$E101*'Physical Condition Assessment'!$AK101,"-"))</f>
        <v>0</v>
      </c>
      <c r="AN101" s="477" t="b">
        <f>IF($AE101="Unit",IF($AF101="X",'Physical Condition Assessment'!$E101*'Physical Condition Assessment'!$AJ101,"-"))</f>
        <v>0</v>
      </c>
      <c r="AO101" s="477" t="b">
        <f>IF($AE101="Unit",IF($AG101="X",'Physical Condition Assessment'!$E101*'Physical Condition Assessment'!$AK101,"-"))</f>
        <v>0</v>
      </c>
      <c r="AP101" s="477">
        <f t="shared" si="2"/>
        <v>0</v>
      </c>
      <c r="AQ101" s="478" t="e">
        <f t="shared" si="3"/>
        <v>#DIV/0!</v>
      </c>
      <c r="AR101" s="734"/>
      <c r="AS101" s="734">
        <v>50</v>
      </c>
      <c r="AT101" s="737">
        <f ca="1">IF($AR101&gt;0,$C$5-$AR101,$C$5-'Base Information Sheet'!$B$15)</f>
        <v>2026</v>
      </c>
      <c r="AU101" s="737">
        <f>IF($AR101&gt;0,$AR101+$AS101,'Base Information Sheet'!$B$15+'Physical Condition Assessment'!$AS101)</f>
        <v>50</v>
      </c>
      <c r="AV101" s="738">
        <f ca="1">IF($N101="x",0,IF($AU101&lt;=$C$5,'Physical Condition Assessment'!$AP101,0))</f>
        <v>0</v>
      </c>
      <c r="AW101" s="738">
        <f ca="1">IF(AV101&gt;0,0,IF($N101="x",0,IF(($AU101-6)&lt;$C$5,'Physical Condition Assessment'!$AP101,0)))</f>
        <v>0</v>
      </c>
      <c r="AX101" s="738">
        <f ca="1">IF(SUM(AV101:AW101)&gt;0,0,IF($N101="x",0,IF(($AU101-11)&lt;$C$5,'Physical Condition Assessment'!$AP101,0)))</f>
        <v>0</v>
      </c>
      <c r="AY101" s="738">
        <f ca="1">IF(SUM(AV101:AX101)&gt;0,0,IF($N101="x",0,IF(($AU101-16)&lt;$C$5,'Physical Condition Assessment'!$AP101,0)))</f>
        <v>0</v>
      </c>
    </row>
    <row r="102" spans="1:51" ht="16" thickBot="1" x14ac:dyDescent="0.25">
      <c r="A102" s="755" t="s">
        <v>229</v>
      </c>
      <c r="B102" s="756"/>
      <c r="E102" s="465"/>
      <c r="F102" s="466"/>
      <c r="G102" s="537" t="s">
        <v>41</v>
      </c>
      <c r="H102" s="5"/>
      <c r="I102" s="537" t="s">
        <v>42</v>
      </c>
      <c r="J102" s="5"/>
      <c r="K102" s="537" t="s">
        <v>43</v>
      </c>
      <c r="L102" s="5"/>
      <c r="M102" s="537" t="s">
        <v>44</v>
      </c>
      <c r="N102" s="5"/>
      <c r="O102" s="537" t="s">
        <v>52</v>
      </c>
      <c r="P102" s="5"/>
      <c r="Q102" s="3" t="s">
        <v>52</v>
      </c>
      <c r="R102" s="789"/>
      <c r="S102" s="797"/>
      <c r="T102" s="791"/>
      <c r="U102"/>
      <c r="AE102" s="475" t="s">
        <v>71</v>
      </c>
      <c r="AF102" s="475"/>
      <c r="AG102" s="475" t="s">
        <v>72</v>
      </c>
      <c r="AH102" s="476">
        <f>_xlfn.XLOOKUP($U102,'PCA Cost Tables - READ ONLY'!$E$10:$E$172,'PCA Cost Tables - READ ONLY'!$F$10:$F$172,"BLANK",0)</f>
        <v>0</v>
      </c>
      <c r="AI102" s="476">
        <f>_xlfn.XLOOKUP($U102,'PCA Cost Tables - READ ONLY'!$E$10:$E$172,'PCA Cost Tables - READ ONLY'!$H$10:$H$172,"BLANK",0)</f>
        <v>0</v>
      </c>
      <c r="AJ102" s="476">
        <f>_xlfn.XLOOKUP($U102,'PCA Cost Tables - READ ONLY'!$E$10:$E$172,'PCA Cost Tables - READ ONLY'!$J$10:$J$172,"BLANK",0)</f>
        <v>0</v>
      </c>
      <c r="AK102" s="476">
        <f>_xlfn.XLOOKUP($U102,'PCA Cost Tables - READ ONLY'!$E$10:$E$172,'PCA Cost Tables - READ ONLY'!$L$10:$L$172,"BLANK",0)</f>
        <v>0</v>
      </c>
      <c r="AL102" s="477" t="str">
        <f>IF($AE102="SF",IF($AF102="X",'Base Information Sheet'!$B$23*'Physical Condition Assessment'!$E102*'Physical Condition Assessment'!$AJ102,"-"))</f>
        <v>-</v>
      </c>
      <c r="AM102" s="477">
        <f>IF($AE102="SF",IF($AG102="X",'Base Information Sheet'!$B$23*'Physical Condition Assessment'!$E102*'Physical Condition Assessment'!$AK102,"-"))</f>
        <v>0</v>
      </c>
      <c r="AN102" s="477" t="b">
        <f>IF($AE102="Unit",IF($AF102="X",'Physical Condition Assessment'!$E102*'Physical Condition Assessment'!$AJ102,"-"))</f>
        <v>0</v>
      </c>
      <c r="AO102" s="477" t="b">
        <f>IF($AE102="Unit",IF($AG102="X",'Physical Condition Assessment'!$E102*'Physical Condition Assessment'!$AK102,"-"))</f>
        <v>0</v>
      </c>
      <c r="AP102" s="477">
        <f t="shared" si="2"/>
        <v>0</v>
      </c>
      <c r="AQ102" s="478" t="e">
        <f t="shared" si="3"/>
        <v>#DIV/0!</v>
      </c>
      <c r="AR102" s="734"/>
      <c r="AS102" s="734">
        <v>20</v>
      </c>
      <c r="AT102" s="737">
        <f ca="1">IF($AR102&gt;0,$C$5-$AR102,$C$5-'Base Information Sheet'!$B$15)</f>
        <v>2026</v>
      </c>
      <c r="AU102" s="737">
        <f>IF($AR102&gt;0,$AR102+$AS102,'Base Information Sheet'!$B$15+'Physical Condition Assessment'!$AS102)</f>
        <v>20</v>
      </c>
      <c r="AV102" s="738">
        <f ca="1">IF($N102="x",0,IF($AU102&lt;=$C$5,'Physical Condition Assessment'!$AP102,0))</f>
        <v>0</v>
      </c>
      <c r="AW102" s="738">
        <f ca="1">IF(AV102&gt;0,0,IF($N102="x",0,IF(($AU102-6)&lt;$C$5,'Physical Condition Assessment'!$AP102,0)))</f>
        <v>0</v>
      </c>
      <c r="AX102" s="738">
        <f ca="1">IF(SUM(AV102:AW102)&gt;0,0,IF($N102="x",0,IF(($AU102-11)&lt;$C$5,'Physical Condition Assessment'!$AP102,0)))</f>
        <v>0</v>
      </c>
      <c r="AY102" s="738">
        <f ca="1">IF(SUM(AV102:AX102)&gt;0,0,IF($N102="x",0,IF(($AU102-16)&lt;$C$5,'Physical Condition Assessment'!$AP102,0)))</f>
        <v>0</v>
      </c>
    </row>
    <row r="103" spans="1:51" ht="16" thickBot="1" x14ac:dyDescent="0.25">
      <c r="A103" s="755"/>
      <c r="B103" s="767" t="s">
        <v>247</v>
      </c>
      <c r="E103" s="769"/>
      <c r="R103" s="796"/>
      <c r="S103" s="503"/>
      <c r="T103" s="788"/>
      <c r="U103"/>
      <c r="W103" s="505" t="s">
        <v>248</v>
      </c>
      <c r="AE103" s="479"/>
      <c r="AF103" s="480"/>
      <c r="AG103" s="480"/>
      <c r="AH103" s="480"/>
      <c r="AI103" s="480"/>
      <c r="AJ103" s="481"/>
      <c r="AK103" s="481"/>
      <c r="AL103" s="480"/>
      <c r="AM103" s="480"/>
      <c r="AN103" s="480"/>
      <c r="AO103" s="480"/>
      <c r="AP103" s="482"/>
      <c r="AQ103" s="482"/>
      <c r="AR103" s="739"/>
      <c r="AS103" s="739"/>
      <c r="AT103" s="740"/>
      <c r="AU103" s="741"/>
      <c r="AV103" s="741"/>
      <c r="AW103" s="741"/>
      <c r="AX103" s="741"/>
      <c r="AY103" s="742"/>
    </row>
    <row r="104" spans="1:51" ht="16" thickBot="1" x14ac:dyDescent="0.25">
      <c r="A104" s="755" t="s">
        <v>229</v>
      </c>
      <c r="B104" s="618" t="s">
        <v>247</v>
      </c>
      <c r="C104" s="502" t="s">
        <v>249</v>
      </c>
      <c r="D104" s="771"/>
      <c r="E104" s="728"/>
      <c r="F104" s="729"/>
      <c r="G104" s="537" t="s">
        <v>41</v>
      </c>
      <c r="H104" s="732"/>
      <c r="I104" s="537" t="s">
        <v>42</v>
      </c>
      <c r="J104" s="732"/>
      <c r="K104" s="537" t="s">
        <v>43</v>
      </c>
      <c r="L104" s="732"/>
      <c r="M104" s="537" t="s">
        <v>44</v>
      </c>
      <c r="N104" s="732"/>
      <c r="O104" s="537" t="s">
        <v>52</v>
      </c>
      <c r="P104" s="2"/>
      <c r="Q104" s="3" t="s">
        <v>52</v>
      </c>
      <c r="R104" s="783"/>
      <c r="S104" s="784">
        <f>'Base Information Sheet'!$B$23*'Physical Condition Assessment'!E104*'PCA Cost Tables - READ ONLY'!P104*'Physical Condition Assessment'!R104*'Base Information Sheet'!$B$38*'Base Information Sheet'!$B$37</f>
        <v>0</v>
      </c>
      <c r="T104" s="786"/>
      <c r="U104" t="s">
        <v>250</v>
      </c>
      <c r="V104" s="502" t="s">
        <v>248</v>
      </c>
      <c r="W104" s="628" t="s">
        <v>251</v>
      </c>
      <c r="X104" s="628" t="s">
        <v>252</v>
      </c>
      <c r="Y104" s="629" t="s">
        <v>253</v>
      </c>
      <c r="Z104" s="506" t="s">
        <v>254</v>
      </c>
      <c r="AA104" s="507" t="s">
        <v>255</v>
      </c>
      <c r="AE104" s="475" t="s">
        <v>71</v>
      </c>
      <c r="AF104" s="475"/>
      <c r="AG104" s="475" t="s">
        <v>72</v>
      </c>
      <c r="AH104" s="476">
        <f>_xlfn.XLOOKUP($U104,'PCA Cost Tables - READ ONLY'!$E$10:$E$172,'PCA Cost Tables - READ ONLY'!$F$10:$F$172,"BLANK",0)</f>
        <v>1.8977670000000002</v>
      </c>
      <c r="AI104" s="476">
        <f>_xlfn.XLOOKUP($U104,'PCA Cost Tables - READ ONLY'!$E$10:$E$172,'PCA Cost Tables - READ ONLY'!$H$10:$H$172,"BLANK",0)</f>
        <v>4.2275460000000002</v>
      </c>
      <c r="AJ104" s="476">
        <f>_xlfn.XLOOKUP($U104,'PCA Cost Tables - READ ONLY'!$E$10:$E$172,'PCA Cost Tables - READ ONLY'!$J$10:$J$172,"BLANK",0)</f>
        <v>11.186025000000001</v>
      </c>
      <c r="AK104" s="476">
        <f>_xlfn.XLOOKUP($U104,'PCA Cost Tables - READ ONLY'!$E$10:$E$172,'PCA Cost Tables - READ ONLY'!$L$10:$L$172,"BLANK",0)</f>
        <v>19.656545999999999</v>
      </c>
      <c r="AL104" s="477" t="str">
        <f>IF($AE104="SF",IF($AF104="X",'Base Information Sheet'!$B$23*'Physical Condition Assessment'!$E104*'Physical Condition Assessment'!$AJ104,"-"))</f>
        <v>-</v>
      </c>
      <c r="AM104" s="477">
        <f>IF($AE104="SF",IF($AG104="X",'Base Information Sheet'!$B$23*'Physical Condition Assessment'!$E104*'Physical Condition Assessment'!$AK104,"-"))</f>
        <v>0</v>
      </c>
      <c r="AN104" s="477" t="b">
        <f>IF($AE104="Unit",IF($AF104="X",'Physical Condition Assessment'!$E104*'Physical Condition Assessment'!$AJ104,"-"))</f>
        <v>0</v>
      </c>
      <c r="AO104" s="477" t="b">
        <f>IF($AE104="Unit",IF($AG104="X",'Physical Condition Assessment'!$E104*'Physical Condition Assessment'!$AK104,"-"))</f>
        <v>0</v>
      </c>
      <c r="AP104" s="477">
        <f t="shared" si="2"/>
        <v>0</v>
      </c>
      <c r="AQ104" s="478" t="e">
        <f t="shared" si="3"/>
        <v>#DIV/0!</v>
      </c>
      <c r="AR104" s="734"/>
      <c r="AS104" s="734">
        <v>19</v>
      </c>
      <c r="AT104" s="737">
        <f ca="1">IF($AR104&gt;0,$C$5-$AR104,$C$5-'Base Information Sheet'!$B$15)</f>
        <v>2026</v>
      </c>
      <c r="AU104" s="737">
        <f>IF($AR104&gt;0,$AR104+$AS104,'Base Information Sheet'!$B$15+'Physical Condition Assessment'!$AS104)</f>
        <v>19</v>
      </c>
      <c r="AV104" s="738">
        <f ca="1">IF($N104="x",0,IF($AU104&lt;=$C$5,'Physical Condition Assessment'!$AP104,0))</f>
        <v>0</v>
      </c>
      <c r="AW104" s="738">
        <f ca="1">IF(AV104&gt;0,0,IF($N104="x",0,IF(($AU104-6)&lt;$C$5,'Physical Condition Assessment'!$AP104,0)))</f>
        <v>0</v>
      </c>
      <c r="AX104" s="738">
        <f ca="1">IF(SUM(AV104:AW104)&gt;0,0,IF($N104="x",0,IF(($AU104-11)&lt;$C$5,'Physical Condition Assessment'!$AP104,0)))</f>
        <v>0</v>
      </c>
      <c r="AY104" s="738">
        <f ca="1">IF(SUM(AV104:AX104)&gt;0,0,IF($N104="x",0,IF(($AU104-16)&lt;$C$5,'Physical Condition Assessment'!$AP104,0)))</f>
        <v>0</v>
      </c>
    </row>
    <row r="105" spans="1:51" ht="16" thickBot="1" x14ac:dyDescent="0.25">
      <c r="A105" s="755" t="s">
        <v>229</v>
      </c>
      <c r="B105" s="756" t="s">
        <v>247</v>
      </c>
      <c r="C105" s="502" t="s">
        <v>256</v>
      </c>
      <c r="D105" s="502" t="s">
        <v>257</v>
      </c>
      <c r="E105" s="728"/>
      <c r="F105" s="729"/>
      <c r="G105" s="537" t="s">
        <v>41</v>
      </c>
      <c r="H105" s="732"/>
      <c r="I105" s="537" t="s">
        <v>42</v>
      </c>
      <c r="J105" s="732"/>
      <c r="K105" s="537" t="s">
        <v>43</v>
      </c>
      <c r="L105" s="732"/>
      <c r="M105" s="537" t="s">
        <v>44</v>
      </c>
      <c r="N105" s="732"/>
      <c r="O105" s="537" t="s">
        <v>52</v>
      </c>
      <c r="P105" s="2"/>
      <c r="Q105" s="3" t="s">
        <v>52</v>
      </c>
      <c r="R105" s="783"/>
      <c r="S105" s="784">
        <f>'Base Information Sheet'!$B$23*'Physical Condition Assessment'!E105*'PCA Cost Tables - READ ONLY'!P105*'Physical Condition Assessment'!R105*'Base Information Sheet'!$B$38*'Base Information Sheet'!$B$37</f>
        <v>0</v>
      </c>
      <c r="T105" s="786"/>
      <c r="U105" t="s">
        <v>258</v>
      </c>
      <c r="V105" s="502" t="s">
        <v>248</v>
      </c>
      <c r="W105" s="630" t="s">
        <v>259</v>
      </c>
      <c r="X105" s="631">
        <f>HVAC!R2</f>
        <v>0</v>
      </c>
      <c r="Y105" s="632">
        <f>HVAC!S2</f>
        <v>0</v>
      </c>
      <c r="Z105" s="508">
        <f>HVAC!T2</f>
        <v>0</v>
      </c>
      <c r="AA105" s="509" t="e">
        <f>HVAC!U2</f>
        <v>#DIV/0!</v>
      </c>
      <c r="AE105" s="475" t="s">
        <v>71</v>
      </c>
      <c r="AF105" s="475"/>
      <c r="AG105" s="475" t="s">
        <v>72</v>
      </c>
      <c r="AH105" s="476">
        <f>_xlfn.XLOOKUP($U105,'PCA Cost Tables - READ ONLY'!$E$10:$E$172,'PCA Cost Tables - READ ONLY'!$F$10:$F$172,"BLANK",0)</f>
        <v>3.3974379999999997</v>
      </c>
      <c r="AI105" s="476">
        <f>_xlfn.XLOOKUP($U105,'PCA Cost Tables - READ ONLY'!$E$10:$E$172,'PCA Cost Tables - READ ONLY'!$H$10:$H$172,"BLANK",0)</f>
        <v>4.339302</v>
      </c>
      <c r="AJ105" s="476">
        <f>_xlfn.XLOOKUP($U105,'PCA Cost Tables - READ ONLY'!$E$10:$E$172,'PCA Cost Tables - READ ONLY'!$J$10:$J$172,"BLANK",0)</f>
        <v>8.6617850000000001</v>
      </c>
      <c r="AK105" s="476">
        <f>_xlfn.XLOOKUP($U105,'PCA Cost Tables - READ ONLY'!$E$10:$E$172,'PCA Cost Tables - READ ONLY'!$L$10:$L$172,"BLANK",0)</f>
        <v>16.011687999999999</v>
      </c>
      <c r="AL105" s="477" t="str">
        <f>IF($AE105="SF",IF($AF105="X",'Base Information Sheet'!$B$23*'Physical Condition Assessment'!$E105*'Physical Condition Assessment'!$AJ105,"-"))</f>
        <v>-</v>
      </c>
      <c r="AM105" s="477">
        <f>IF($AE105="SF",IF($AG105="X",'Base Information Sheet'!$B$23*'Physical Condition Assessment'!$E105*'Physical Condition Assessment'!$AK105,"-"))</f>
        <v>0</v>
      </c>
      <c r="AN105" s="477" t="b">
        <f>IF($AE105="Unit",IF($AF105="X",'Physical Condition Assessment'!$E105*'Physical Condition Assessment'!$AJ105,"-"))</f>
        <v>0</v>
      </c>
      <c r="AO105" s="477" t="b">
        <f>IF($AE105="Unit",IF($AG105="X",'Physical Condition Assessment'!$E105*'Physical Condition Assessment'!$AK105,"-"))</f>
        <v>0</v>
      </c>
      <c r="AP105" s="477">
        <f t="shared" si="2"/>
        <v>0</v>
      </c>
      <c r="AQ105" s="478" t="e">
        <f t="shared" si="3"/>
        <v>#DIV/0!</v>
      </c>
      <c r="AR105" s="734"/>
      <c r="AS105" s="734">
        <v>20</v>
      </c>
      <c r="AT105" s="737">
        <f ca="1">IF($AR105&gt;0,$C$5-$AR105,$C$5-'Base Information Sheet'!$B$15)</f>
        <v>2026</v>
      </c>
      <c r="AU105" s="737">
        <f>IF($AR105&gt;0,$AR105+$AS105,'Base Information Sheet'!$B$15+'Physical Condition Assessment'!$AS105)</f>
        <v>20</v>
      </c>
      <c r="AV105" s="738">
        <f ca="1">IF($N105="x",0,IF($AU105&lt;=$C$5,'Physical Condition Assessment'!$AP105,0))</f>
        <v>0</v>
      </c>
      <c r="AW105" s="738">
        <f ca="1">IF(AV105&gt;0,0,IF($N105="x",0,IF(($AU105-6)&lt;$C$5,'Physical Condition Assessment'!$AP105,0)))</f>
        <v>0</v>
      </c>
      <c r="AX105" s="738">
        <f ca="1">IF(SUM(AV105:AW105)&gt;0,0,IF($N105="x",0,IF(($AU105-11)&lt;$C$5,'Physical Condition Assessment'!$AP105,0)))</f>
        <v>0</v>
      </c>
      <c r="AY105" s="738">
        <f ca="1">IF(SUM(AV105:AX105)&gt;0,0,IF($N105="x",0,IF(($AU105-16)&lt;$C$5,'Physical Condition Assessment'!$AP105,0)))</f>
        <v>0</v>
      </c>
    </row>
    <row r="106" spans="1:51" ht="16" thickBot="1" x14ac:dyDescent="0.25">
      <c r="A106" s="755" t="s">
        <v>229</v>
      </c>
      <c r="B106" s="756" t="s">
        <v>247</v>
      </c>
      <c r="C106" s="502" t="s">
        <v>256</v>
      </c>
      <c r="D106" s="502" t="s">
        <v>260</v>
      </c>
      <c r="E106" s="728"/>
      <c r="F106" s="729"/>
      <c r="G106" s="537" t="s">
        <v>41</v>
      </c>
      <c r="H106" s="732"/>
      <c r="I106" s="537" t="s">
        <v>42</v>
      </c>
      <c r="J106" s="732"/>
      <c r="K106" s="537" t="s">
        <v>43</v>
      </c>
      <c r="L106" s="732"/>
      <c r="M106" s="537" t="s">
        <v>44</v>
      </c>
      <c r="N106" s="732"/>
      <c r="O106" s="537" t="s">
        <v>52</v>
      </c>
      <c r="P106" s="2"/>
      <c r="Q106" s="3" t="s">
        <v>52</v>
      </c>
      <c r="R106" s="783"/>
      <c r="S106" s="784">
        <f>'Base Information Sheet'!$B$23*'Physical Condition Assessment'!E106*'PCA Cost Tables - READ ONLY'!P106*'Physical Condition Assessment'!R106*'Base Information Sheet'!$B$38*'Base Information Sheet'!$B$37</f>
        <v>0</v>
      </c>
      <c r="T106" s="786"/>
      <c r="U106" t="s">
        <v>261</v>
      </c>
      <c r="V106" s="502" t="s">
        <v>248</v>
      </c>
      <c r="W106" s="633" t="s">
        <v>262</v>
      </c>
      <c r="X106" s="634">
        <f>HVAC!R3</f>
        <v>0</v>
      </c>
      <c r="Y106" s="635">
        <f>HVAC!S3</f>
        <v>0</v>
      </c>
      <c r="Z106" s="510">
        <f>HVAC!T3</f>
        <v>0</v>
      </c>
      <c r="AA106" s="511" t="e">
        <f>HVAC!U3</f>
        <v>#DIV/0!</v>
      </c>
      <c r="AE106" s="475" t="s">
        <v>71</v>
      </c>
      <c r="AF106" s="475"/>
      <c r="AG106" s="475" t="s">
        <v>72</v>
      </c>
      <c r="AH106" s="476">
        <f>_xlfn.XLOOKUP($U106,'PCA Cost Tables - READ ONLY'!$E$10:$E$172,'PCA Cost Tables - READ ONLY'!$F$10:$F$172,"BLANK",0)</f>
        <v>1.2614249999999998</v>
      </c>
      <c r="AI106" s="476">
        <f>_xlfn.XLOOKUP($U106,'PCA Cost Tables - READ ONLY'!$E$10:$E$172,'PCA Cost Tables - READ ONLY'!$H$10:$H$172,"BLANK",0)</f>
        <v>3.1956099999999998</v>
      </c>
      <c r="AJ106" s="476">
        <f>_xlfn.XLOOKUP($U106,'PCA Cost Tables - READ ONLY'!$E$10:$E$172,'PCA Cost Tables - READ ONLY'!$J$10:$J$172,"BLANK",0)</f>
        <v>4.0533789999999996</v>
      </c>
      <c r="AK106" s="476">
        <f>_xlfn.XLOOKUP($U106,'PCA Cost Tables - READ ONLY'!$E$10:$E$172,'PCA Cost Tables - READ ONLY'!$L$10:$L$172,"BLANK",0)</f>
        <v>9.7886579999999999</v>
      </c>
      <c r="AL106" s="477" t="str">
        <f>IF($AE106="SF",IF($AF106="X",'Base Information Sheet'!$B$23*'Physical Condition Assessment'!$E106*'Physical Condition Assessment'!$AJ106,"-"))</f>
        <v>-</v>
      </c>
      <c r="AM106" s="477">
        <f>IF($AE106="SF",IF($AG106="X",'Base Information Sheet'!$B$23*'Physical Condition Assessment'!$E106*'Physical Condition Assessment'!$AK106,"-"))</f>
        <v>0</v>
      </c>
      <c r="AN106" s="477" t="b">
        <f>IF($AE106="Unit",IF($AF106="X",'Physical Condition Assessment'!$E106*'Physical Condition Assessment'!$AJ106,"-"))</f>
        <v>0</v>
      </c>
      <c r="AO106" s="477" t="b">
        <f>IF($AE106="Unit",IF($AG106="X",'Physical Condition Assessment'!$E106*'Physical Condition Assessment'!$AK106,"-"))</f>
        <v>0</v>
      </c>
      <c r="AP106" s="477">
        <f t="shared" si="2"/>
        <v>0</v>
      </c>
      <c r="AQ106" s="478" t="e">
        <f t="shared" si="3"/>
        <v>#DIV/0!</v>
      </c>
      <c r="AR106" s="734"/>
      <c r="AS106" s="734">
        <v>20</v>
      </c>
      <c r="AT106" s="737">
        <f ca="1">IF($AR106&gt;0,$C$5-$AR106,$C$5-'Base Information Sheet'!$B$15)</f>
        <v>2026</v>
      </c>
      <c r="AU106" s="737">
        <f>IF($AR106&gt;0,$AR106+$AS106,'Base Information Sheet'!$B$15+'Physical Condition Assessment'!$AS106)</f>
        <v>20</v>
      </c>
      <c r="AV106" s="738">
        <f ca="1">IF($N106="x",0,IF($AU106&lt;=$C$5,'Physical Condition Assessment'!$AP106,0))</f>
        <v>0</v>
      </c>
      <c r="AW106" s="738">
        <f ca="1">IF(AV106&gt;0,0,IF($N106="x",0,IF(($AU106-6)&lt;$C$5,'Physical Condition Assessment'!$AP106,0)))</f>
        <v>0</v>
      </c>
      <c r="AX106" s="738">
        <f ca="1">IF(SUM(AV106:AW106)&gt;0,0,IF($N106="x",0,IF(($AU106-11)&lt;$C$5,'Physical Condition Assessment'!$AP106,0)))</f>
        <v>0</v>
      </c>
      <c r="AY106" s="738">
        <f ca="1">IF(SUM(AV106:AX106)&gt;0,0,IF($N106="x",0,IF(($AU106-16)&lt;$C$5,'Physical Condition Assessment'!$AP106,0)))</f>
        <v>0</v>
      </c>
    </row>
    <row r="107" spans="1:51" ht="16" thickBot="1" x14ac:dyDescent="0.25">
      <c r="A107" s="755" t="s">
        <v>229</v>
      </c>
      <c r="B107" s="756" t="s">
        <v>247</v>
      </c>
      <c r="C107" s="502" t="s">
        <v>256</v>
      </c>
      <c r="D107" s="502" t="s">
        <v>263</v>
      </c>
      <c r="E107" s="728"/>
      <c r="F107" s="729"/>
      <c r="G107" s="537" t="s">
        <v>41</v>
      </c>
      <c r="H107" s="732"/>
      <c r="I107" s="537" t="s">
        <v>42</v>
      </c>
      <c r="J107" s="732"/>
      <c r="K107" s="537" t="s">
        <v>43</v>
      </c>
      <c r="L107" s="732"/>
      <c r="M107" s="537" t="s">
        <v>44</v>
      </c>
      <c r="N107" s="732"/>
      <c r="O107" s="537" t="s">
        <v>52</v>
      </c>
      <c r="P107" s="2"/>
      <c r="Q107" s="3" t="s">
        <v>52</v>
      </c>
      <c r="R107" s="783"/>
      <c r="S107" s="784">
        <f>'Base Information Sheet'!$B$23*'Physical Condition Assessment'!E107*'PCA Cost Tables - READ ONLY'!P107*'Physical Condition Assessment'!R107*'Base Information Sheet'!$B$38*'Base Information Sheet'!$B$37</f>
        <v>0</v>
      </c>
      <c r="T107" s="786"/>
      <c r="U107" t="s">
        <v>264</v>
      </c>
      <c r="V107" s="502" t="s">
        <v>248</v>
      </c>
      <c r="W107" s="636"/>
      <c r="X107" s="637" t="s">
        <v>265</v>
      </c>
      <c r="Y107" s="638"/>
      <c r="Z107" s="512">
        <f>HVAC!T4</f>
        <v>0</v>
      </c>
      <c r="AA107" s="513"/>
      <c r="AE107" s="475" t="s">
        <v>71</v>
      </c>
      <c r="AF107" s="475"/>
      <c r="AG107" s="475" t="s">
        <v>72</v>
      </c>
      <c r="AH107" s="476">
        <f>_xlfn.XLOOKUP($U107,'PCA Cost Tables - READ ONLY'!$E$10:$E$172,'PCA Cost Tables - READ ONLY'!$F$10:$F$172,"BLANK",0)</f>
        <v>1.2446059999999999</v>
      </c>
      <c r="AI107" s="476">
        <f>_xlfn.XLOOKUP($U107,'PCA Cost Tables - READ ONLY'!$E$10:$E$172,'PCA Cost Tables - READ ONLY'!$H$10:$H$172,"BLANK",0)</f>
        <v>2.2537459999999996</v>
      </c>
      <c r="AJ107" s="476">
        <f>_xlfn.XLOOKUP($U107,'PCA Cost Tables - READ ONLY'!$E$10:$E$172,'PCA Cost Tables - READ ONLY'!$J$10:$J$172,"BLANK",0)</f>
        <v>4.1374739999999992</v>
      </c>
      <c r="AK107" s="476">
        <f>_xlfn.XLOOKUP($U107,'PCA Cost Tables - READ ONLY'!$E$10:$E$172,'PCA Cost Tables - READ ONLY'!$L$10:$L$172,"BLANK",0)</f>
        <v>7.1648939999999985</v>
      </c>
      <c r="AL107" s="477" t="str">
        <f>IF($AE107="SF",IF($AF107="X",'Base Information Sheet'!$B$23*'Physical Condition Assessment'!$E107*'Physical Condition Assessment'!$AJ107,"-"))</f>
        <v>-</v>
      </c>
      <c r="AM107" s="477">
        <f>IF($AE107="SF",IF($AG107="X",'Base Information Sheet'!$B$23*'Physical Condition Assessment'!$E107*'Physical Condition Assessment'!$AK107,"-"))</f>
        <v>0</v>
      </c>
      <c r="AN107" s="477" t="b">
        <f>IF($AE107="Unit",IF($AF107="X",'Physical Condition Assessment'!$E107*'Physical Condition Assessment'!$AJ107,"-"))</f>
        <v>0</v>
      </c>
      <c r="AO107" s="477" t="b">
        <f>IF($AE107="Unit",IF($AG107="X",'Physical Condition Assessment'!$E107*'Physical Condition Assessment'!$AK107,"-"))</f>
        <v>0</v>
      </c>
      <c r="AP107" s="477">
        <f t="shared" si="2"/>
        <v>0</v>
      </c>
      <c r="AQ107" s="478" t="e">
        <f t="shared" si="3"/>
        <v>#DIV/0!</v>
      </c>
      <c r="AR107" s="734"/>
      <c r="AS107" s="734">
        <v>20</v>
      </c>
      <c r="AT107" s="737">
        <f ca="1">IF($AR107&gt;0,$C$5-$AR107,$C$5-'Base Information Sheet'!$B$15)</f>
        <v>2026</v>
      </c>
      <c r="AU107" s="737">
        <f>IF($AR107&gt;0,$AR107+$AS107,'Base Information Sheet'!$B$15+'Physical Condition Assessment'!$AS107)</f>
        <v>20</v>
      </c>
      <c r="AV107" s="738">
        <f ca="1">IF($N107="x",0,IF($AU107&lt;=$C$5,'Physical Condition Assessment'!$AP107,0))</f>
        <v>0</v>
      </c>
      <c r="AW107" s="738">
        <f ca="1">IF(AV107&gt;0,0,IF($N107="x",0,IF(($AU107-6)&lt;$C$5,'Physical Condition Assessment'!$AP107,0)))</f>
        <v>0</v>
      </c>
      <c r="AX107" s="738">
        <f ca="1">IF(SUM(AV107:AW107)&gt;0,0,IF($N107="x",0,IF(($AU107-11)&lt;$C$5,'Physical Condition Assessment'!$AP107,0)))</f>
        <v>0</v>
      </c>
      <c r="AY107" s="738">
        <f ca="1">IF(SUM(AV107:AX107)&gt;0,0,IF($N107="x",0,IF(($AU107-16)&lt;$C$5,'Physical Condition Assessment'!$AP107,0)))</f>
        <v>0</v>
      </c>
    </row>
    <row r="108" spans="1:51" ht="16" thickBot="1" x14ac:dyDescent="0.25">
      <c r="A108" s="755" t="s">
        <v>229</v>
      </c>
      <c r="B108" s="756" t="s">
        <v>247</v>
      </c>
      <c r="C108" s="502" t="s">
        <v>256</v>
      </c>
      <c r="D108" s="502" t="s">
        <v>266</v>
      </c>
      <c r="E108" s="728"/>
      <c r="F108" s="729"/>
      <c r="G108" s="537" t="s">
        <v>41</v>
      </c>
      <c r="H108" s="732"/>
      <c r="I108" s="537" t="s">
        <v>42</v>
      </c>
      <c r="J108" s="732"/>
      <c r="K108" s="537" t="s">
        <v>43</v>
      </c>
      <c r="L108" s="732"/>
      <c r="M108" s="537" t="s">
        <v>44</v>
      </c>
      <c r="N108" s="732"/>
      <c r="O108" s="537" t="s">
        <v>52</v>
      </c>
      <c r="P108" s="2"/>
      <c r="Q108" s="3" t="s">
        <v>52</v>
      </c>
      <c r="R108" s="783"/>
      <c r="S108" s="784">
        <f>'Base Information Sheet'!$B$23*'Physical Condition Assessment'!E108*'PCA Cost Tables - READ ONLY'!P108*'Physical Condition Assessment'!R108*'Base Information Sheet'!$B$38*'Base Information Sheet'!$B$37</f>
        <v>0</v>
      </c>
      <c r="T108" s="786"/>
      <c r="U108" t="s">
        <v>267</v>
      </c>
      <c r="V108" s="502" t="s">
        <v>248</v>
      </c>
      <c r="AE108" s="475" t="s">
        <v>71</v>
      </c>
      <c r="AF108" s="475"/>
      <c r="AG108" s="475" t="s">
        <v>72</v>
      </c>
      <c r="AH108" s="476">
        <f>_xlfn.XLOOKUP($U108,'PCA Cost Tables - READ ONLY'!$E$10:$E$172,'PCA Cost Tables - READ ONLY'!$F$10:$F$172,"BLANK",0)</f>
        <v>0.33637999999999996</v>
      </c>
      <c r="AI108" s="476">
        <f>_xlfn.XLOOKUP($U108,'PCA Cost Tables - READ ONLY'!$E$10:$E$172,'PCA Cost Tables - READ ONLY'!$H$10:$H$172,"BLANK",0)</f>
        <v>0.94186400000000003</v>
      </c>
      <c r="AJ108" s="476">
        <f>_xlfn.XLOOKUP($U108,'PCA Cost Tables - READ ONLY'!$E$10:$E$172,'PCA Cost Tables - READ ONLY'!$J$10:$J$172,"BLANK",0)</f>
        <v>1.6987189999999999</v>
      </c>
      <c r="AK108" s="476">
        <f>_xlfn.XLOOKUP($U108,'PCA Cost Tables - READ ONLY'!$E$10:$E$172,'PCA Cost Tables - READ ONLY'!$L$10:$L$172,"BLANK",0)</f>
        <v>3.3974379999999997</v>
      </c>
      <c r="AL108" s="477" t="str">
        <f>IF($AE108="SF",IF($AF108="X",'Base Information Sheet'!$B$23*'Physical Condition Assessment'!$E108*'Physical Condition Assessment'!$AJ108,"-"))</f>
        <v>-</v>
      </c>
      <c r="AM108" s="477">
        <f>IF($AE108="SF",IF($AG108="X",'Base Information Sheet'!$B$23*'Physical Condition Assessment'!$E108*'Physical Condition Assessment'!$AK108,"-"))</f>
        <v>0</v>
      </c>
      <c r="AN108" s="477" t="b">
        <f>IF($AE108="Unit",IF($AF108="X",'Physical Condition Assessment'!$E108*'Physical Condition Assessment'!$AJ108,"-"))</f>
        <v>0</v>
      </c>
      <c r="AO108" s="477" t="b">
        <f>IF($AE108="Unit",IF($AG108="X",'Physical Condition Assessment'!$E108*'Physical Condition Assessment'!$AK108,"-"))</f>
        <v>0</v>
      </c>
      <c r="AP108" s="477">
        <f t="shared" si="2"/>
        <v>0</v>
      </c>
      <c r="AQ108" s="478" t="e">
        <f t="shared" si="3"/>
        <v>#DIV/0!</v>
      </c>
      <c r="AR108" s="734"/>
      <c r="AS108" s="734">
        <v>20</v>
      </c>
      <c r="AT108" s="737">
        <f ca="1">IF($AR108&gt;0,$C$5-$AR108,$C$5-'Base Information Sheet'!$B$15)</f>
        <v>2026</v>
      </c>
      <c r="AU108" s="737">
        <f>IF($AR108&gt;0,$AR108+$AS108,'Base Information Sheet'!$B$15+'Physical Condition Assessment'!$AS108)</f>
        <v>20</v>
      </c>
      <c r="AV108" s="738">
        <f ca="1">IF($N108="x",0,IF($AU108&lt;=$C$5,'Physical Condition Assessment'!$AP108,0))</f>
        <v>0</v>
      </c>
      <c r="AW108" s="738">
        <f ca="1">IF(AV108&gt;0,0,IF($N108="x",0,IF(($AU108-6)&lt;$C$5,'Physical Condition Assessment'!$AP108,0)))</f>
        <v>0</v>
      </c>
      <c r="AX108" s="738">
        <f ca="1">IF(SUM(AV108:AW108)&gt;0,0,IF($N108="x",0,IF(($AU108-11)&lt;$C$5,'Physical Condition Assessment'!$AP108,0)))</f>
        <v>0</v>
      </c>
      <c r="AY108" s="738">
        <f ca="1">IF(SUM(AV108:AX108)&gt;0,0,IF($N108="x",0,IF(($AU108-16)&lt;$C$5,'Physical Condition Assessment'!$AP108,0)))</f>
        <v>0</v>
      </c>
    </row>
    <row r="109" spans="1:51" ht="16" thickBot="1" x14ac:dyDescent="0.25">
      <c r="A109" s="755" t="s">
        <v>229</v>
      </c>
      <c r="B109" s="756" t="s">
        <v>247</v>
      </c>
      <c r="C109" s="502" t="s">
        <v>268</v>
      </c>
      <c r="D109" s="502" t="s">
        <v>269</v>
      </c>
      <c r="E109" s="728"/>
      <c r="F109" s="729"/>
      <c r="G109" s="537" t="s">
        <v>41</v>
      </c>
      <c r="H109" s="732"/>
      <c r="I109" s="537" t="s">
        <v>42</v>
      </c>
      <c r="J109" s="732"/>
      <c r="K109" s="537" t="s">
        <v>43</v>
      </c>
      <c r="L109" s="732"/>
      <c r="M109" s="537" t="s">
        <v>44</v>
      </c>
      <c r="N109" s="732"/>
      <c r="O109" s="537" t="s">
        <v>52</v>
      </c>
      <c r="P109" s="2"/>
      <c r="Q109" s="3" t="s">
        <v>52</v>
      </c>
      <c r="R109" s="783"/>
      <c r="S109" s="784">
        <f>'Base Information Sheet'!$B$23*'Physical Condition Assessment'!E109*'PCA Cost Tables - READ ONLY'!P109*'Physical Condition Assessment'!R109*'Base Information Sheet'!$B$38*'Base Information Sheet'!$B$37</f>
        <v>0</v>
      </c>
      <c r="T109" s="786"/>
      <c r="U109" t="s">
        <v>270</v>
      </c>
      <c r="V109" s="502" t="s">
        <v>248</v>
      </c>
      <c r="AE109" s="475" t="s">
        <v>71</v>
      </c>
      <c r="AF109" s="475"/>
      <c r="AG109" s="475" t="s">
        <v>72</v>
      </c>
      <c r="AH109" s="476">
        <f>_xlfn.XLOOKUP($U109,'PCA Cost Tables - READ ONLY'!$E$10:$E$172,'PCA Cost Tables - READ ONLY'!$F$10:$F$172,"BLANK",0)</f>
        <v>0.84094999999999986</v>
      </c>
      <c r="AI109" s="476">
        <f>_xlfn.XLOOKUP($U109,'PCA Cost Tables - READ ONLY'!$E$10:$E$172,'PCA Cost Tables - READ ONLY'!$H$10:$H$172,"BLANK",0)</f>
        <v>2.0687369999999996</v>
      </c>
      <c r="AJ109" s="476">
        <f>_xlfn.XLOOKUP($U109,'PCA Cost Tables - READ ONLY'!$E$10:$E$172,'PCA Cost Tables - READ ONLY'!$J$10:$J$172,"BLANK",0)</f>
        <v>4.0533789999999996</v>
      </c>
      <c r="AK109" s="476">
        <f>_xlfn.XLOOKUP($U109,'PCA Cost Tables - READ ONLY'!$E$10:$E$172,'PCA Cost Tables - READ ONLY'!$L$10:$L$172,"BLANK",0)</f>
        <v>6.4921339999999983</v>
      </c>
      <c r="AL109" s="477" t="str">
        <f>IF($AE109="SF",IF($AF109="X",'Base Information Sheet'!$B$23*'Physical Condition Assessment'!$E109*'Physical Condition Assessment'!$AJ109,"-"))</f>
        <v>-</v>
      </c>
      <c r="AM109" s="477">
        <f>IF($AE109="SF",IF($AG109="X",'Base Information Sheet'!$B$23*'Physical Condition Assessment'!$E109*'Physical Condition Assessment'!$AK109,"-"))</f>
        <v>0</v>
      </c>
      <c r="AN109" s="477" t="b">
        <f>IF($AE109="Unit",IF($AF109="X",'Physical Condition Assessment'!$E109*'Physical Condition Assessment'!$AJ109,"-"))</f>
        <v>0</v>
      </c>
      <c r="AO109" s="477" t="b">
        <f>IF($AE109="Unit",IF($AG109="X",'Physical Condition Assessment'!$E109*'Physical Condition Assessment'!$AK109,"-"))</f>
        <v>0</v>
      </c>
      <c r="AP109" s="477">
        <f t="shared" si="2"/>
        <v>0</v>
      </c>
      <c r="AQ109" s="478" t="e">
        <f t="shared" si="3"/>
        <v>#DIV/0!</v>
      </c>
      <c r="AR109" s="734"/>
      <c r="AS109" s="734">
        <v>20</v>
      </c>
      <c r="AT109" s="737">
        <f ca="1">IF($AR109&gt;0,$C$5-$AR109,$C$5-'Base Information Sheet'!$B$15)</f>
        <v>2026</v>
      </c>
      <c r="AU109" s="737">
        <f>IF($AR109&gt;0,$AR109+$AS109,'Base Information Sheet'!$B$15+'Physical Condition Assessment'!$AS109)</f>
        <v>20</v>
      </c>
      <c r="AV109" s="738">
        <f ca="1">IF($N109="x",0,IF($AU109&lt;=$C$5,'Physical Condition Assessment'!$AP109,0))</f>
        <v>0</v>
      </c>
      <c r="AW109" s="738">
        <f ca="1">IF(AV109&gt;0,0,IF($N109="x",0,IF(($AU109-6)&lt;$C$5,'Physical Condition Assessment'!$AP109,0)))</f>
        <v>0</v>
      </c>
      <c r="AX109" s="738">
        <f ca="1">IF(SUM(AV109:AW109)&gt;0,0,IF($N109="x",0,IF(($AU109-11)&lt;$C$5,'Physical Condition Assessment'!$AP109,0)))</f>
        <v>0</v>
      </c>
      <c r="AY109" s="738">
        <f ca="1">IF(SUM(AV109:AX109)&gt;0,0,IF($N109="x",0,IF(($AU109-16)&lt;$C$5,'Physical Condition Assessment'!$AP109,0)))</f>
        <v>0</v>
      </c>
    </row>
    <row r="110" spans="1:51" ht="16" thickBot="1" x14ac:dyDescent="0.25">
      <c r="A110" s="755" t="s">
        <v>229</v>
      </c>
      <c r="B110" s="756" t="s">
        <v>247</v>
      </c>
      <c r="C110" s="502" t="s">
        <v>268</v>
      </c>
      <c r="D110" s="502" t="s">
        <v>271</v>
      </c>
      <c r="E110" s="728"/>
      <c r="F110" s="729"/>
      <c r="G110" s="537" t="s">
        <v>41</v>
      </c>
      <c r="H110" s="732"/>
      <c r="I110" s="537" t="s">
        <v>42</v>
      </c>
      <c r="J110" s="732"/>
      <c r="K110" s="537" t="s">
        <v>43</v>
      </c>
      <c r="L110" s="732"/>
      <c r="M110" s="537" t="s">
        <v>44</v>
      </c>
      <c r="N110" s="732"/>
      <c r="O110" s="537" t="s">
        <v>52</v>
      </c>
      <c r="P110" s="2"/>
      <c r="Q110" s="3" t="s">
        <v>52</v>
      </c>
      <c r="R110" s="783"/>
      <c r="S110" s="784">
        <f>'Base Information Sheet'!$B$23*'Physical Condition Assessment'!E110*'PCA Cost Tables - READ ONLY'!P110*'Physical Condition Assessment'!R110*'Base Information Sheet'!$B$38*'Base Information Sheet'!$B$37</f>
        <v>0</v>
      </c>
      <c r="T110" s="786"/>
      <c r="U110" t="s">
        <v>272</v>
      </c>
      <c r="V110" s="502" t="s">
        <v>248</v>
      </c>
      <c r="AE110" s="475" t="s">
        <v>71</v>
      </c>
      <c r="AF110" s="475"/>
      <c r="AG110" s="475" t="s">
        <v>72</v>
      </c>
      <c r="AH110" s="476">
        <f>_xlfn.XLOOKUP($U110,'PCA Cost Tables - READ ONLY'!$E$10:$E$172,'PCA Cost Tables - READ ONLY'!$F$10:$F$172,"BLANK",0)</f>
        <v>1.2614249999999998</v>
      </c>
      <c r="AI110" s="476">
        <f>_xlfn.XLOOKUP($U110,'PCA Cost Tables - READ ONLY'!$E$10:$E$172,'PCA Cost Tables - READ ONLY'!$H$10:$H$172,"BLANK",0)</f>
        <v>3.1956099999999998</v>
      </c>
      <c r="AJ110" s="476">
        <f>_xlfn.XLOOKUP($U110,'PCA Cost Tables - READ ONLY'!$E$10:$E$172,'PCA Cost Tables - READ ONLY'!$J$10:$J$172,"BLANK",0)</f>
        <v>4.0533789999999996</v>
      </c>
      <c r="AK110" s="476">
        <f>_xlfn.XLOOKUP($U110,'PCA Cost Tables - READ ONLY'!$E$10:$E$172,'PCA Cost Tables - READ ONLY'!$L$10:$L$172,"BLANK",0)</f>
        <v>9.3177260000000004</v>
      </c>
      <c r="AL110" s="477" t="str">
        <f>IF($AE110="SF",IF($AF110="X",'Base Information Sheet'!$B$23*'Physical Condition Assessment'!$E110*'Physical Condition Assessment'!$AJ110,"-"))</f>
        <v>-</v>
      </c>
      <c r="AM110" s="477">
        <f>IF($AE110="SF",IF($AG110="X",'Base Information Sheet'!$B$23*'Physical Condition Assessment'!$E110*'Physical Condition Assessment'!$AK110,"-"))</f>
        <v>0</v>
      </c>
      <c r="AN110" s="477" t="b">
        <f>IF($AE110="Unit",IF($AF110="X",'Physical Condition Assessment'!$E110*'Physical Condition Assessment'!$AJ110,"-"))</f>
        <v>0</v>
      </c>
      <c r="AO110" s="477" t="b">
        <f>IF($AE110="Unit",IF($AG110="X",'Physical Condition Assessment'!$E110*'Physical Condition Assessment'!$AK110,"-"))</f>
        <v>0</v>
      </c>
      <c r="AP110" s="477">
        <f t="shared" si="2"/>
        <v>0</v>
      </c>
      <c r="AQ110" s="478" t="e">
        <f t="shared" si="3"/>
        <v>#DIV/0!</v>
      </c>
      <c r="AR110" s="734"/>
      <c r="AS110" s="734">
        <v>20</v>
      </c>
      <c r="AT110" s="737">
        <f ca="1">IF($AR110&gt;0,$C$5-$AR110,$C$5-'Base Information Sheet'!$B$15)</f>
        <v>2026</v>
      </c>
      <c r="AU110" s="737">
        <f>IF($AR110&gt;0,$AR110+$AS110,'Base Information Sheet'!$B$15+'Physical Condition Assessment'!$AS110)</f>
        <v>20</v>
      </c>
      <c r="AV110" s="738">
        <f ca="1">IF($N110="x",0,IF($AU110&lt;=$C$5,'Physical Condition Assessment'!$AP110,0))</f>
        <v>0</v>
      </c>
      <c r="AW110" s="738">
        <f ca="1">IF(AV110&gt;0,0,IF($N110="x",0,IF(($AU110-6)&lt;$C$5,'Physical Condition Assessment'!$AP110,0)))</f>
        <v>0</v>
      </c>
      <c r="AX110" s="738">
        <f ca="1">IF(SUM(AV110:AW110)&gt;0,0,IF($N110="x",0,IF(($AU110-11)&lt;$C$5,'Physical Condition Assessment'!$AP110,0)))</f>
        <v>0</v>
      </c>
      <c r="AY110" s="738">
        <f ca="1">IF(SUM(AV110:AX110)&gt;0,0,IF($N110="x",0,IF(($AU110-16)&lt;$C$5,'Physical Condition Assessment'!$AP110,0)))</f>
        <v>0</v>
      </c>
    </row>
    <row r="111" spans="1:51" ht="16" thickBot="1" x14ac:dyDescent="0.25">
      <c r="A111" s="755" t="s">
        <v>229</v>
      </c>
      <c r="B111" s="756" t="s">
        <v>247</v>
      </c>
      <c r="C111" s="502" t="s">
        <v>273</v>
      </c>
      <c r="D111" s="502" t="s">
        <v>274</v>
      </c>
      <c r="E111" s="728"/>
      <c r="F111" s="729"/>
      <c r="G111" s="537" t="s">
        <v>41</v>
      </c>
      <c r="H111" s="732"/>
      <c r="I111" s="537" t="s">
        <v>42</v>
      </c>
      <c r="J111" s="732"/>
      <c r="K111" s="537" t="s">
        <v>43</v>
      </c>
      <c r="L111" s="732"/>
      <c r="M111" s="537" t="s">
        <v>44</v>
      </c>
      <c r="N111" s="732"/>
      <c r="O111" s="537" t="s">
        <v>52</v>
      </c>
      <c r="P111" s="2"/>
      <c r="Q111" s="3" t="s">
        <v>52</v>
      </c>
      <c r="R111" s="783"/>
      <c r="S111" s="784">
        <f>'Base Information Sheet'!$B$23*'Physical Condition Assessment'!E111*'PCA Cost Tables - READ ONLY'!P111*'Physical Condition Assessment'!R111*'Base Information Sheet'!$B$38*'Base Information Sheet'!$B$37</f>
        <v>0</v>
      </c>
      <c r="T111" s="786"/>
      <c r="U111" t="s">
        <v>275</v>
      </c>
      <c r="V111" s="502" t="s">
        <v>248</v>
      </c>
      <c r="AE111" s="475" t="s">
        <v>71</v>
      </c>
      <c r="AF111" s="475"/>
      <c r="AG111" s="475" t="s">
        <v>72</v>
      </c>
      <c r="AH111" s="476">
        <f>_xlfn.XLOOKUP($U111,'PCA Cost Tables - READ ONLY'!$E$10:$E$172,'PCA Cost Tables - READ ONLY'!$F$10:$F$172,"BLANK",0)</f>
        <v>0.84094999999999986</v>
      </c>
      <c r="AI111" s="476">
        <f>_xlfn.XLOOKUP($U111,'PCA Cost Tables - READ ONLY'!$E$10:$E$172,'PCA Cost Tables - READ ONLY'!$H$10:$H$172,"BLANK",0)</f>
        <v>3.0106009999999999</v>
      </c>
      <c r="AJ111" s="476">
        <f>_xlfn.XLOOKUP($U111,'PCA Cost Tables - READ ONLY'!$E$10:$E$172,'PCA Cost Tables - READ ONLY'!$J$10:$J$172,"BLANK",0)</f>
        <v>3.5824469999999993</v>
      </c>
      <c r="AK111" s="476">
        <f>_xlfn.XLOOKUP($U111,'PCA Cost Tables - READ ONLY'!$E$10:$E$172,'PCA Cost Tables - READ ONLY'!$L$10:$L$172,"BLANK",0)</f>
        <v>8.6617850000000001</v>
      </c>
      <c r="AL111" s="477" t="str">
        <f>IF($AE111="SF",IF($AF111="X",'Base Information Sheet'!$B$23*'Physical Condition Assessment'!$E111*'Physical Condition Assessment'!$AJ111,"-"))</f>
        <v>-</v>
      </c>
      <c r="AM111" s="477">
        <f>IF($AE111="SF",IF($AG111="X",'Base Information Sheet'!$B$23*'Physical Condition Assessment'!$E111*'Physical Condition Assessment'!$AK111,"-"))</f>
        <v>0</v>
      </c>
      <c r="AN111" s="477" t="b">
        <f>IF($AE111="Unit",IF($AF111="X",'Physical Condition Assessment'!$E111*'Physical Condition Assessment'!$AJ111,"-"))</f>
        <v>0</v>
      </c>
      <c r="AO111" s="477" t="b">
        <f>IF($AE111="Unit",IF($AG111="X",'Physical Condition Assessment'!$E111*'Physical Condition Assessment'!$AK111,"-"))</f>
        <v>0</v>
      </c>
      <c r="AP111" s="477">
        <f t="shared" si="2"/>
        <v>0</v>
      </c>
      <c r="AQ111" s="478" t="e">
        <f t="shared" si="3"/>
        <v>#DIV/0!</v>
      </c>
      <c r="AR111" s="734"/>
      <c r="AS111" s="734">
        <v>20</v>
      </c>
      <c r="AT111" s="737">
        <f ca="1">IF($AR111&gt;0,$C$5-$AR111,$C$5-'Base Information Sheet'!$B$15)</f>
        <v>2026</v>
      </c>
      <c r="AU111" s="737">
        <f>IF($AR111&gt;0,$AR111+$AS111,'Base Information Sheet'!$B$15+'Physical Condition Assessment'!$AS111)</f>
        <v>20</v>
      </c>
      <c r="AV111" s="738">
        <f ca="1">IF($N111="x",0,IF($AU111&lt;=$C$5,'Physical Condition Assessment'!$AP111,0))</f>
        <v>0</v>
      </c>
      <c r="AW111" s="738">
        <f ca="1">IF(AV111&gt;0,0,IF($N111="x",0,IF(($AU111-6)&lt;$C$5,'Physical Condition Assessment'!$AP111,0)))</f>
        <v>0</v>
      </c>
      <c r="AX111" s="738">
        <f ca="1">IF(SUM(AV111:AW111)&gt;0,0,IF($N111="x",0,IF(($AU111-11)&lt;$C$5,'Physical Condition Assessment'!$AP111,0)))</f>
        <v>0</v>
      </c>
      <c r="AY111" s="738">
        <f ca="1">IF(SUM(AV111:AX111)&gt;0,0,IF($N111="x",0,IF(($AU111-16)&lt;$C$5,'Physical Condition Assessment'!$AP111,0)))</f>
        <v>0</v>
      </c>
    </row>
    <row r="112" spans="1:51" ht="16" thickBot="1" x14ac:dyDescent="0.25">
      <c r="A112" s="755" t="s">
        <v>229</v>
      </c>
      <c r="B112" s="756" t="s">
        <v>247</v>
      </c>
      <c r="C112" s="502" t="s">
        <v>273</v>
      </c>
      <c r="D112" s="502" t="s">
        <v>276</v>
      </c>
      <c r="E112" s="728"/>
      <c r="F112" s="729"/>
      <c r="G112" s="537" t="s">
        <v>41</v>
      </c>
      <c r="H112" s="732"/>
      <c r="I112" s="537" t="s">
        <v>42</v>
      </c>
      <c r="J112" s="732"/>
      <c r="K112" s="537" t="s">
        <v>43</v>
      </c>
      <c r="L112" s="732"/>
      <c r="M112" s="537" t="s">
        <v>44</v>
      </c>
      <c r="N112" s="732"/>
      <c r="O112" s="537" t="s">
        <v>52</v>
      </c>
      <c r="P112" s="2"/>
      <c r="Q112" s="3" t="s">
        <v>52</v>
      </c>
      <c r="R112" s="783"/>
      <c r="S112" s="784">
        <f>'Base Information Sheet'!$B$23*'Physical Condition Assessment'!E112*'PCA Cost Tables - READ ONLY'!P112*'Physical Condition Assessment'!R112*'Base Information Sheet'!$B$38*'Base Information Sheet'!$B$37</f>
        <v>0</v>
      </c>
      <c r="T112" s="786"/>
      <c r="U112" t="s">
        <v>277</v>
      </c>
      <c r="V112" s="502" t="s">
        <v>248</v>
      </c>
      <c r="AE112" s="475" t="s">
        <v>71</v>
      </c>
      <c r="AF112" s="475"/>
      <c r="AG112" s="475" t="s">
        <v>72</v>
      </c>
      <c r="AH112" s="476">
        <f>_xlfn.XLOOKUP($U112,'PCA Cost Tables - READ ONLY'!$E$10:$E$172,'PCA Cost Tables - READ ONLY'!$F$10:$F$172,"BLANK",0)</f>
        <v>2.0687369999999996</v>
      </c>
      <c r="AI112" s="476">
        <f>_xlfn.XLOOKUP($U112,'PCA Cost Tables - READ ONLY'!$E$10:$E$172,'PCA Cost Tables - READ ONLY'!$H$10:$H$172,"BLANK",0)</f>
        <v>2.8255919999999999</v>
      </c>
      <c r="AJ112" s="476">
        <f>_xlfn.XLOOKUP($U112,'PCA Cost Tables - READ ONLY'!$E$10:$E$172,'PCA Cost Tables - READ ONLY'!$J$10:$J$172,"BLANK",0)</f>
        <v>7.5685500000000001</v>
      </c>
      <c r="AK112" s="476">
        <f>_xlfn.XLOOKUP($U112,'PCA Cost Tables - READ ONLY'!$E$10:$E$172,'PCA Cost Tables - READ ONLY'!$L$10:$L$172,"BLANK",0)</f>
        <v>14.413882999999998</v>
      </c>
      <c r="AL112" s="477" t="str">
        <f>IF($AE112="SF",IF($AF112="X",'Base Information Sheet'!$B$23*'Physical Condition Assessment'!$E112*'Physical Condition Assessment'!$AJ112,"-"))</f>
        <v>-</v>
      </c>
      <c r="AM112" s="477">
        <f>IF($AE112="SF",IF($AG112="X",'Base Information Sheet'!$B$23*'Physical Condition Assessment'!$E112*'Physical Condition Assessment'!$AK112,"-"))</f>
        <v>0</v>
      </c>
      <c r="AN112" s="477" t="b">
        <f>IF($AE112="Unit",IF($AF112="X",'Physical Condition Assessment'!$E112*'Physical Condition Assessment'!$AJ112,"-"))</f>
        <v>0</v>
      </c>
      <c r="AO112" s="477" t="b">
        <f>IF($AE112="Unit",IF($AG112="X",'Physical Condition Assessment'!$E112*'Physical Condition Assessment'!$AK112,"-"))</f>
        <v>0</v>
      </c>
      <c r="AP112" s="477">
        <f t="shared" si="2"/>
        <v>0</v>
      </c>
      <c r="AQ112" s="478" t="e">
        <f t="shared" si="3"/>
        <v>#DIV/0!</v>
      </c>
      <c r="AR112" s="734"/>
      <c r="AS112" s="734">
        <v>20</v>
      </c>
      <c r="AT112" s="737">
        <f ca="1">IF($AR112&gt;0,$C$5-$AR112,$C$5-'Base Information Sheet'!$B$15)</f>
        <v>2026</v>
      </c>
      <c r="AU112" s="737">
        <f>IF($AR112&gt;0,$AR112+$AS112,'Base Information Sheet'!$B$15+'Physical Condition Assessment'!$AS112)</f>
        <v>20</v>
      </c>
      <c r="AV112" s="738">
        <f ca="1">IF($N112="x",0,IF($AU112&lt;=$C$5,'Physical Condition Assessment'!$AP112,0))</f>
        <v>0</v>
      </c>
      <c r="AW112" s="738">
        <f ca="1">IF(AV112&gt;0,0,IF($N112="x",0,IF(($AU112-6)&lt;$C$5,'Physical Condition Assessment'!$AP112,0)))</f>
        <v>0</v>
      </c>
      <c r="AX112" s="738">
        <f ca="1">IF(SUM(AV112:AW112)&gt;0,0,IF($N112="x",0,IF(($AU112-11)&lt;$C$5,'Physical Condition Assessment'!$AP112,0)))</f>
        <v>0</v>
      </c>
      <c r="AY112" s="738">
        <f ca="1">IF(SUM(AV112:AX112)&gt;0,0,IF($N112="x",0,IF(($AU112-16)&lt;$C$5,'Physical Condition Assessment'!$AP112,0)))</f>
        <v>0</v>
      </c>
    </row>
    <row r="113" spans="1:51" ht="16" thickBot="1" x14ac:dyDescent="0.25">
      <c r="A113" s="755" t="s">
        <v>229</v>
      </c>
      <c r="B113" s="756" t="s">
        <v>247</v>
      </c>
      <c r="C113" s="502" t="s">
        <v>278</v>
      </c>
      <c r="D113" s="502" t="s">
        <v>279</v>
      </c>
      <c r="E113" s="728"/>
      <c r="F113" s="729"/>
      <c r="G113" s="537" t="s">
        <v>41</v>
      </c>
      <c r="H113" s="732"/>
      <c r="I113" s="537" t="s">
        <v>42</v>
      </c>
      <c r="J113" s="732"/>
      <c r="K113" s="537" t="s">
        <v>43</v>
      </c>
      <c r="L113" s="732"/>
      <c r="M113" s="537" t="s">
        <v>44</v>
      </c>
      <c r="N113" s="732"/>
      <c r="O113" s="537" t="s">
        <v>52</v>
      </c>
      <c r="P113" s="2"/>
      <c r="Q113" s="3" t="s">
        <v>52</v>
      </c>
      <c r="R113" s="783"/>
      <c r="S113" s="784">
        <f>'Base Information Sheet'!$B$23*'Physical Condition Assessment'!E113*'PCA Cost Tables - READ ONLY'!P113*'Physical Condition Assessment'!R113*'Base Information Sheet'!$B$38*'Base Information Sheet'!$B$37</f>
        <v>0</v>
      </c>
      <c r="T113" s="786"/>
      <c r="U113" t="s">
        <v>280</v>
      </c>
      <c r="V113" s="502" t="s">
        <v>248</v>
      </c>
      <c r="AE113" s="475" t="s">
        <v>71</v>
      </c>
      <c r="AF113" s="475"/>
      <c r="AG113" s="475" t="s">
        <v>72</v>
      </c>
      <c r="AH113" s="476">
        <f>_xlfn.XLOOKUP($U113,'PCA Cost Tables - READ ONLY'!$E$10:$E$172,'PCA Cost Tables - READ ONLY'!$F$10:$F$172,"BLANK",0)</f>
        <v>2.0687369999999996</v>
      </c>
      <c r="AI113" s="476">
        <f>_xlfn.XLOOKUP($U113,'PCA Cost Tables - READ ONLY'!$E$10:$E$172,'PCA Cost Tables - READ ONLY'!$H$10:$H$172,"BLANK",0)</f>
        <v>4.0533789999999996</v>
      </c>
      <c r="AJ113" s="476">
        <f>_xlfn.XLOOKUP($U113,'PCA Cost Tables - READ ONLY'!$E$10:$E$172,'PCA Cost Tables - READ ONLY'!$J$10:$J$172,"BLANK",0)</f>
        <v>6.7780570000000004</v>
      </c>
      <c r="AK113" s="476">
        <f>_xlfn.XLOOKUP($U113,'PCA Cost Tables - READ ONLY'!$E$10:$E$172,'PCA Cost Tables - READ ONLY'!$L$10:$L$172,"BLANK",0)</f>
        <v>13.034724999999998</v>
      </c>
      <c r="AL113" s="477" t="str">
        <f>IF($AE113="SF",IF($AF113="X",'Base Information Sheet'!$B$23*'Physical Condition Assessment'!$E113*'Physical Condition Assessment'!$AJ113,"-"))</f>
        <v>-</v>
      </c>
      <c r="AM113" s="477">
        <f>IF($AE113="SF",IF($AG113="X",'Base Information Sheet'!$B$23*'Physical Condition Assessment'!$E113*'Physical Condition Assessment'!$AK113,"-"))</f>
        <v>0</v>
      </c>
      <c r="AN113" s="477" t="b">
        <f>IF($AE113="Unit",IF($AF113="X",'Physical Condition Assessment'!$E113*'Physical Condition Assessment'!$AJ113,"-"))</f>
        <v>0</v>
      </c>
      <c r="AO113" s="477" t="b">
        <f>IF($AE113="Unit",IF($AG113="X",'Physical Condition Assessment'!$E113*'Physical Condition Assessment'!$AK113,"-"))</f>
        <v>0</v>
      </c>
      <c r="AP113" s="477">
        <f t="shared" si="2"/>
        <v>0</v>
      </c>
      <c r="AQ113" s="478" t="e">
        <f t="shared" si="3"/>
        <v>#DIV/0!</v>
      </c>
      <c r="AR113" s="734"/>
      <c r="AS113" s="734">
        <v>20</v>
      </c>
      <c r="AT113" s="737">
        <f ca="1">IF($AR113&gt;0,$C$5-$AR113,$C$5-'Base Information Sheet'!$B$15)</f>
        <v>2026</v>
      </c>
      <c r="AU113" s="737">
        <f>IF($AR113&gt;0,$AR113+$AS113,'Base Information Sheet'!$B$15+'Physical Condition Assessment'!$AS113)</f>
        <v>20</v>
      </c>
      <c r="AV113" s="738">
        <f ca="1">IF($N113="x",0,IF($AU113&lt;=$C$5,'Physical Condition Assessment'!$AP113,0))</f>
        <v>0</v>
      </c>
      <c r="AW113" s="738">
        <f ca="1">IF(AV113&gt;0,0,IF($N113="x",0,IF(($AU113-6)&lt;$C$5,'Physical Condition Assessment'!$AP113,0)))</f>
        <v>0</v>
      </c>
      <c r="AX113" s="738">
        <f ca="1">IF(SUM(AV113:AW113)&gt;0,0,IF($N113="x",0,IF(($AU113-11)&lt;$C$5,'Physical Condition Assessment'!$AP113,0)))</f>
        <v>0</v>
      </c>
      <c r="AY113" s="738">
        <f ca="1">IF(SUM(AV113:AX113)&gt;0,0,IF($N113="x",0,IF(($AU113-16)&lt;$C$5,'Physical Condition Assessment'!$AP113,0)))</f>
        <v>0</v>
      </c>
    </row>
    <row r="114" spans="1:51" ht="16" thickBot="1" x14ac:dyDescent="0.25">
      <c r="A114" s="755" t="s">
        <v>229</v>
      </c>
      <c r="B114" s="756" t="s">
        <v>247</v>
      </c>
      <c r="C114" s="502" t="s">
        <v>278</v>
      </c>
      <c r="D114" s="502" t="s">
        <v>281</v>
      </c>
      <c r="E114" s="728"/>
      <c r="F114" s="729"/>
      <c r="G114" s="537" t="s">
        <v>41</v>
      </c>
      <c r="H114" s="732"/>
      <c r="I114" s="537" t="s">
        <v>42</v>
      </c>
      <c r="J114" s="732"/>
      <c r="K114" s="537" t="s">
        <v>43</v>
      </c>
      <c r="L114" s="732"/>
      <c r="M114" s="537" t="s">
        <v>44</v>
      </c>
      <c r="N114" s="732"/>
      <c r="O114" s="537" t="s">
        <v>52</v>
      </c>
      <c r="P114" s="2"/>
      <c r="Q114" s="3" t="s">
        <v>52</v>
      </c>
      <c r="R114" s="783"/>
      <c r="S114" s="784">
        <f>'Base Information Sheet'!$B$23*'Physical Condition Assessment'!E114*'PCA Cost Tables - READ ONLY'!P114*'Physical Condition Assessment'!R114*'Base Information Sheet'!$B$38*'Base Information Sheet'!$B$37</f>
        <v>0</v>
      </c>
      <c r="T114" s="786"/>
      <c r="U114" t="s">
        <v>282</v>
      </c>
      <c r="V114" s="502" t="s">
        <v>248</v>
      </c>
      <c r="AE114" s="475" t="s">
        <v>71</v>
      </c>
      <c r="AF114" s="475"/>
      <c r="AG114" s="475" t="s">
        <v>72</v>
      </c>
      <c r="AH114" s="476">
        <f>_xlfn.XLOOKUP($U114,'PCA Cost Tables - READ ONLY'!$E$10:$E$172,'PCA Cost Tables - READ ONLY'!$F$10:$F$172,"BLANK",0)</f>
        <v>3.3637999999999995</v>
      </c>
      <c r="AI114" s="476">
        <f>_xlfn.XLOOKUP($U114,'PCA Cost Tables - READ ONLY'!$E$10:$E$172,'PCA Cost Tables - READ ONLY'!$H$10:$H$172,"BLANK",0)</f>
        <v>9.0486219999999982</v>
      </c>
      <c r="AJ114" s="476">
        <f>_xlfn.XLOOKUP($U114,'PCA Cost Tables - READ ONLY'!$E$10:$E$172,'PCA Cost Tables - READ ONLY'!$J$10:$J$172,"BLANK",0)</f>
        <v>20.182799999999997</v>
      </c>
      <c r="AK114" s="476">
        <f>_xlfn.XLOOKUP($U114,'PCA Cost Tables - READ ONLY'!$E$10:$E$172,'PCA Cost Tables - READ ONLY'!$L$10:$L$172,"BLANK",0)</f>
        <v>26.843124</v>
      </c>
      <c r="AL114" s="477" t="str">
        <f>IF($AE114="SF",IF($AF114="X",'Base Information Sheet'!$B$23*'Physical Condition Assessment'!$E114*'Physical Condition Assessment'!$AJ114,"-"))</f>
        <v>-</v>
      </c>
      <c r="AM114" s="477">
        <f>IF($AE114="SF",IF($AG114="X",'Base Information Sheet'!$B$23*'Physical Condition Assessment'!$E114*'Physical Condition Assessment'!$AK114,"-"))</f>
        <v>0</v>
      </c>
      <c r="AN114" s="477" t="b">
        <f>IF($AE114="Unit",IF($AF114="X",'Physical Condition Assessment'!$E114*'Physical Condition Assessment'!$AJ114,"-"))</f>
        <v>0</v>
      </c>
      <c r="AO114" s="477" t="b">
        <f>IF($AE114="Unit",IF($AG114="X",'Physical Condition Assessment'!$E114*'Physical Condition Assessment'!$AK114,"-"))</f>
        <v>0</v>
      </c>
      <c r="AP114" s="477">
        <f t="shared" si="2"/>
        <v>0</v>
      </c>
      <c r="AQ114" s="478" t="e">
        <f t="shared" si="3"/>
        <v>#DIV/0!</v>
      </c>
      <c r="AR114" s="734"/>
      <c r="AS114" s="734">
        <v>20</v>
      </c>
      <c r="AT114" s="737">
        <f ca="1">IF($AR114&gt;0,$C$5-$AR114,$C$5-'Base Information Sheet'!$B$15)</f>
        <v>2026</v>
      </c>
      <c r="AU114" s="737">
        <f>IF($AR114&gt;0,$AR114+$AS114,'Base Information Sheet'!$B$15+'Physical Condition Assessment'!$AS114)</f>
        <v>20</v>
      </c>
      <c r="AV114" s="738">
        <f ca="1">IF($N114="x",0,IF($AU114&lt;=$C$5,'Physical Condition Assessment'!$AP114,0))</f>
        <v>0</v>
      </c>
      <c r="AW114" s="738">
        <f ca="1">IF(AV114&gt;0,0,IF($N114="x",0,IF(($AU114-6)&lt;$C$5,'Physical Condition Assessment'!$AP114,0)))</f>
        <v>0</v>
      </c>
      <c r="AX114" s="738">
        <f ca="1">IF(SUM(AV114:AW114)&gt;0,0,IF($N114="x",0,IF(($AU114-11)&lt;$C$5,'Physical Condition Assessment'!$AP114,0)))</f>
        <v>0</v>
      </c>
      <c r="AY114" s="738">
        <f ca="1">IF(SUM(AV114:AX114)&gt;0,0,IF($N114="x",0,IF(($AU114-16)&lt;$C$5,'Physical Condition Assessment'!$AP114,0)))</f>
        <v>0</v>
      </c>
    </row>
    <row r="115" spans="1:51" ht="16" thickBot="1" x14ac:dyDescent="0.25">
      <c r="A115" s="755" t="s">
        <v>229</v>
      </c>
      <c r="B115" s="756" t="s">
        <v>247</v>
      </c>
      <c r="C115" s="502" t="s">
        <v>278</v>
      </c>
      <c r="D115" s="502" t="s">
        <v>283</v>
      </c>
      <c r="E115" s="728"/>
      <c r="F115" s="729"/>
      <c r="G115" s="537" t="s">
        <v>41</v>
      </c>
      <c r="H115" s="732"/>
      <c r="I115" s="537" t="s">
        <v>42</v>
      </c>
      <c r="J115" s="732"/>
      <c r="K115" s="537" t="s">
        <v>43</v>
      </c>
      <c r="L115" s="732"/>
      <c r="M115" s="537" t="s">
        <v>44</v>
      </c>
      <c r="N115" s="732"/>
      <c r="O115" s="537" t="s">
        <v>52</v>
      </c>
      <c r="P115" s="2"/>
      <c r="Q115" s="3" t="s">
        <v>52</v>
      </c>
      <c r="R115" s="783"/>
      <c r="S115" s="784">
        <f>'Base Information Sheet'!$B$23*'Physical Condition Assessment'!E115*'PCA Cost Tables - READ ONLY'!P115*'Physical Condition Assessment'!R115*'Base Information Sheet'!$B$38*'Base Information Sheet'!$B$37</f>
        <v>0</v>
      </c>
      <c r="T115" s="786"/>
      <c r="U115" t="s">
        <v>284</v>
      </c>
      <c r="V115" s="502" t="s">
        <v>248</v>
      </c>
      <c r="AE115" s="475" t="s">
        <v>71</v>
      </c>
      <c r="AF115" s="475"/>
      <c r="AG115" s="475" t="s">
        <v>72</v>
      </c>
      <c r="AH115" s="476">
        <f>_xlfn.XLOOKUP($U115,'PCA Cost Tables - READ ONLY'!$E$10:$E$172,'PCA Cost Tables - READ ONLY'!$F$10:$F$172,"BLANK",0)</f>
        <v>0.84094999999999986</v>
      </c>
      <c r="AI115" s="476">
        <f>_xlfn.XLOOKUP($U115,'PCA Cost Tables - READ ONLY'!$E$10:$E$172,'PCA Cost Tables - READ ONLY'!$H$10:$H$172,"BLANK",0)</f>
        <v>1.8837280000000001</v>
      </c>
      <c r="AJ115" s="476">
        <f>_xlfn.XLOOKUP($U115,'PCA Cost Tables - READ ONLY'!$E$10:$E$172,'PCA Cost Tables - READ ONLY'!$J$10:$J$172,"BLANK",0)</f>
        <v>4.0533789999999996</v>
      </c>
      <c r="AK115" s="476">
        <f>_xlfn.XLOOKUP($U115,'PCA Cost Tables - READ ONLY'!$E$10:$E$172,'PCA Cost Tables - READ ONLY'!$L$10:$L$172,"BLANK",0)</f>
        <v>5.2811659999999998</v>
      </c>
      <c r="AL115" s="477" t="str">
        <f>IF($AE115="SF",IF($AF115="X",'Base Information Sheet'!$B$23*'Physical Condition Assessment'!$E115*'Physical Condition Assessment'!$AJ115,"-"))</f>
        <v>-</v>
      </c>
      <c r="AM115" s="477">
        <f>IF($AE115="SF",IF($AG115="X",'Base Information Sheet'!$B$23*'Physical Condition Assessment'!$E115*'Physical Condition Assessment'!$AK115,"-"))</f>
        <v>0</v>
      </c>
      <c r="AN115" s="477" t="b">
        <f>IF($AE115="Unit",IF($AF115="X",'Physical Condition Assessment'!$E115*'Physical Condition Assessment'!$AJ115,"-"))</f>
        <v>0</v>
      </c>
      <c r="AO115" s="477" t="b">
        <f>IF($AE115="Unit",IF($AG115="X",'Physical Condition Assessment'!$E115*'Physical Condition Assessment'!$AK115,"-"))</f>
        <v>0</v>
      </c>
      <c r="AP115" s="477">
        <f t="shared" si="2"/>
        <v>0</v>
      </c>
      <c r="AQ115" s="478" t="e">
        <f t="shared" si="3"/>
        <v>#DIV/0!</v>
      </c>
      <c r="AR115" s="734"/>
      <c r="AS115" s="734">
        <v>20</v>
      </c>
      <c r="AT115" s="737">
        <f ca="1">IF($AR115&gt;0,$C$5-$AR115,$C$5-'Base Information Sheet'!$B$15)</f>
        <v>2026</v>
      </c>
      <c r="AU115" s="737">
        <f>IF($AR115&gt;0,$AR115+$AS115,'Base Information Sheet'!$B$15+'Physical Condition Assessment'!$AS115)</f>
        <v>20</v>
      </c>
      <c r="AV115" s="738">
        <f ca="1">IF($N115="x",0,IF($AU115&lt;=$C$5,'Physical Condition Assessment'!$AP115,0))</f>
        <v>0</v>
      </c>
      <c r="AW115" s="738">
        <f ca="1">IF(AV115&gt;0,0,IF($N115="x",0,IF(($AU115-6)&lt;$C$5,'Physical Condition Assessment'!$AP115,0)))</f>
        <v>0</v>
      </c>
      <c r="AX115" s="738">
        <f ca="1">IF(SUM(AV115:AW115)&gt;0,0,IF($N115="x",0,IF(($AU115-11)&lt;$C$5,'Physical Condition Assessment'!$AP115,0)))</f>
        <v>0</v>
      </c>
      <c r="AY115" s="738">
        <f ca="1">IF(SUM(AV115:AX115)&gt;0,0,IF($N115="x",0,IF(($AU115-16)&lt;$C$5,'Physical Condition Assessment'!$AP115,0)))</f>
        <v>0</v>
      </c>
    </row>
    <row r="116" spans="1:51" ht="16" thickBot="1" x14ac:dyDescent="0.25">
      <c r="A116" s="755" t="s">
        <v>229</v>
      </c>
      <c r="B116" s="756" t="s">
        <v>247</v>
      </c>
      <c r="C116" s="502" t="s">
        <v>285</v>
      </c>
      <c r="D116" s="771"/>
      <c r="E116" s="728"/>
      <c r="F116" s="729"/>
      <c r="G116" s="537" t="s">
        <v>41</v>
      </c>
      <c r="H116" s="732"/>
      <c r="I116" s="537" t="s">
        <v>42</v>
      </c>
      <c r="J116" s="732"/>
      <c r="K116" s="537" t="s">
        <v>43</v>
      </c>
      <c r="L116" s="732"/>
      <c r="M116" s="537" t="s">
        <v>44</v>
      </c>
      <c r="N116" s="732"/>
      <c r="O116" s="537" t="s">
        <v>52</v>
      </c>
      <c r="P116" s="2"/>
      <c r="Q116" s="3" t="s">
        <v>52</v>
      </c>
      <c r="R116" s="783"/>
      <c r="S116" s="784">
        <f>'Base Information Sheet'!$B$23*'Physical Condition Assessment'!E116*'PCA Cost Tables - READ ONLY'!P116*'Physical Condition Assessment'!R116*'Base Information Sheet'!$B$38*'Base Information Sheet'!$B$37</f>
        <v>0</v>
      </c>
      <c r="T116" s="786"/>
      <c r="U116" t="s">
        <v>286</v>
      </c>
      <c r="V116" s="502" t="s">
        <v>248</v>
      </c>
      <c r="AE116" s="475" t="s">
        <v>71</v>
      </c>
      <c r="AF116" s="475"/>
      <c r="AG116" s="475" t="s">
        <v>72</v>
      </c>
      <c r="AH116" s="476">
        <f>_xlfn.XLOOKUP($U116,'PCA Cost Tables - READ ONLY'!$E$10:$E$172,'PCA Cost Tables - READ ONLY'!$F$10:$F$172,"BLANK",0)</f>
        <v>0.94186400000000003</v>
      </c>
      <c r="AI116" s="476">
        <f>_xlfn.XLOOKUP($U116,'PCA Cost Tables - READ ONLY'!$E$10:$E$172,'PCA Cost Tables - READ ONLY'!$H$10:$H$172,"BLANK",0)</f>
        <v>1.5137099999999999</v>
      </c>
      <c r="AJ116" s="476">
        <f>_xlfn.XLOOKUP($U116,'PCA Cost Tables - READ ONLY'!$E$10:$E$172,'PCA Cost Tables - READ ONLY'!$J$10:$J$172,"BLANK",0)</f>
        <v>4.5243109999999991</v>
      </c>
      <c r="AK116" s="476">
        <f>_xlfn.XLOOKUP($U116,'PCA Cost Tables - READ ONLY'!$E$10:$E$172,'PCA Cost Tables - READ ONLY'!$L$10:$L$172,"BLANK",0)</f>
        <v>8.6113279999999985</v>
      </c>
      <c r="AL116" s="477" t="str">
        <f>IF($AE116="SF",IF($AF116="X",'Base Information Sheet'!$B$23*'Physical Condition Assessment'!$E116*'Physical Condition Assessment'!$AJ116,"-"))</f>
        <v>-</v>
      </c>
      <c r="AM116" s="477">
        <f>IF($AE116="SF",IF($AG116="X",'Base Information Sheet'!$B$23*'Physical Condition Assessment'!$E116*'Physical Condition Assessment'!$AK116,"-"))</f>
        <v>0</v>
      </c>
      <c r="AN116" s="477" t="b">
        <f>IF($AE116="Unit",IF($AF116="X",'Physical Condition Assessment'!$E116*'Physical Condition Assessment'!$AJ116,"-"))</f>
        <v>0</v>
      </c>
      <c r="AO116" s="477" t="b">
        <f>IF($AE116="Unit",IF($AG116="X",'Physical Condition Assessment'!$E116*'Physical Condition Assessment'!$AK116,"-"))</f>
        <v>0</v>
      </c>
      <c r="AP116" s="477">
        <f t="shared" si="2"/>
        <v>0</v>
      </c>
      <c r="AQ116" s="478" t="e">
        <f t="shared" si="3"/>
        <v>#DIV/0!</v>
      </c>
      <c r="AR116" s="734"/>
      <c r="AS116" s="734">
        <v>20</v>
      </c>
      <c r="AT116" s="737">
        <f ca="1">IF($AR116&gt;0,$C$5-$AR116,$C$5-'Base Information Sheet'!$B$15)</f>
        <v>2026</v>
      </c>
      <c r="AU116" s="737">
        <f>IF($AR116&gt;0,$AR116+$AS116,'Base Information Sheet'!$B$15+'Physical Condition Assessment'!$AS116)</f>
        <v>20</v>
      </c>
      <c r="AV116" s="738">
        <f ca="1">IF($N116="x",0,IF($AU116&lt;=$C$5,'Physical Condition Assessment'!$AP116,0))</f>
        <v>0</v>
      </c>
      <c r="AW116" s="738">
        <f ca="1">IF(AV116&gt;0,0,IF($N116="x",0,IF(($AU116-6)&lt;$C$5,'Physical Condition Assessment'!$AP116,0)))</f>
        <v>0</v>
      </c>
      <c r="AX116" s="738">
        <f ca="1">IF(SUM(AV116:AW116)&gt;0,0,IF($N116="x",0,IF(($AU116-11)&lt;$C$5,'Physical Condition Assessment'!$AP116,0)))</f>
        <v>0</v>
      </c>
      <c r="AY116" s="738">
        <f ca="1">IF(SUM(AV116:AX116)&gt;0,0,IF($N116="x",0,IF(($AU116-16)&lt;$C$5,'Physical Condition Assessment'!$AP116,0)))</f>
        <v>0</v>
      </c>
    </row>
    <row r="117" spans="1:51" ht="16" thickBot="1" x14ac:dyDescent="0.25">
      <c r="A117" s="755" t="s">
        <v>229</v>
      </c>
      <c r="B117" s="756" t="s">
        <v>247</v>
      </c>
      <c r="C117" s="502" t="s">
        <v>287</v>
      </c>
      <c r="D117" s="771"/>
      <c r="E117" s="728"/>
      <c r="F117" s="729"/>
      <c r="G117" s="537" t="s">
        <v>41</v>
      </c>
      <c r="H117" s="5"/>
      <c r="I117" s="537" t="s">
        <v>42</v>
      </c>
      <c r="J117" s="5"/>
      <c r="K117" s="537" t="s">
        <v>43</v>
      </c>
      <c r="L117" s="5"/>
      <c r="M117" s="537" t="s">
        <v>44</v>
      </c>
      <c r="N117" s="732"/>
      <c r="O117" s="537" t="s">
        <v>52</v>
      </c>
      <c r="P117" s="2"/>
      <c r="Q117" s="3" t="s">
        <v>52</v>
      </c>
      <c r="R117" s="783"/>
      <c r="S117" s="784">
        <f>'Base Information Sheet'!$B$23*'Physical Condition Assessment'!E117*'PCA Cost Tables - READ ONLY'!P117*'Physical Condition Assessment'!R117*'Base Information Sheet'!$B$38*'Base Information Sheet'!$B$37</f>
        <v>0</v>
      </c>
      <c r="T117" s="786"/>
      <c r="U117" t="s">
        <v>288</v>
      </c>
      <c r="V117" s="502" t="s">
        <v>248</v>
      </c>
      <c r="AE117" s="475" t="s">
        <v>71</v>
      </c>
      <c r="AF117" s="475"/>
      <c r="AG117" s="475" t="s">
        <v>72</v>
      </c>
      <c r="AH117" s="476">
        <f>_xlfn.XLOOKUP($U117,'PCA Cost Tables - READ ONLY'!$E$10:$E$172,'PCA Cost Tables - READ ONLY'!$F$10:$F$172,"BLANK",0)</f>
        <v>0</v>
      </c>
      <c r="AI117" s="476">
        <f>_xlfn.XLOOKUP($U117,'PCA Cost Tables - READ ONLY'!$E$10:$E$172,'PCA Cost Tables - READ ONLY'!$H$10:$H$172,"BLANK",0)</f>
        <v>0</v>
      </c>
      <c r="AJ117" s="476">
        <f>_xlfn.XLOOKUP($U117,'PCA Cost Tables - READ ONLY'!$E$10:$E$172,'PCA Cost Tables - READ ONLY'!$J$10:$J$172,"BLANK",0)</f>
        <v>0</v>
      </c>
      <c r="AK117" s="476">
        <f>_xlfn.XLOOKUP($U117,'PCA Cost Tables - READ ONLY'!$E$10:$E$172,'PCA Cost Tables - READ ONLY'!$L$10:$L$172,"BLANK",0)</f>
        <v>2.0845879999999997</v>
      </c>
      <c r="AL117" s="477" t="str">
        <f>IF($AE117="SF",IF($AF117="X",'Base Information Sheet'!$B$23*'Physical Condition Assessment'!$E117*'Physical Condition Assessment'!$AJ117,"-"))</f>
        <v>-</v>
      </c>
      <c r="AM117" s="477">
        <f>IF($AE117="SF",IF($AG117="X",'Base Information Sheet'!$B$23*'Physical Condition Assessment'!$E117*'Physical Condition Assessment'!$AK117,"-"))</f>
        <v>0</v>
      </c>
      <c r="AN117" s="477" t="b">
        <f>IF($AE117="Unit",IF($AF117="X",'Physical Condition Assessment'!$E117*'Physical Condition Assessment'!$AJ117,"-"))</f>
        <v>0</v>
      </c>
      <c r="AO117" s="477" t="b">
        <f>IF($AE117="Unit",IF($AG117="X",'Physical Condition Assessment'!$E117*'Physical Condition Assessment'!$AK117,"-"))</f>
        <v>0</v>
      </c>
      <c r="AP117" s="477">
        <f t="shared" si="2"/>
        <v>0</v>
      </c>
      <c r="AQ117" s="478" t="e">
        <f t="shared" si="3"/>
        <v>#DIV/0!</v>
      </c>
      <c r="AR117" s="734"/>
      <c r="AS117" s="734">
        <v>20</v>
      </c>
      <c r="AT117" s="737">
        <f ca="1">IF($AR117&gt;0,$C$5-$AR117,$C$5-'Base Information Sheet'!$B$15)</f>
        <v>2026</v>
      </c>
      <c r="AU117" s="737">
        <f>IF($AR117&gt;0,$AR117+$AS117,'Base Information Sheet'!$B$15+'Physical Condition Assessment'!$AS117)</f>
        <v>20</v>
      </c>
      <c r="AV117" s="738">
        <f ca="1">IF($N117="x",0,IF($AU117&lt;=$C$5,'Physical Condition Assessment'!$AP117,0))</f>
        <v>0</v>
      </c>
      <c r="AW117" s="738">
        <f ca="1">IF(AV117&gt;0,0,IF($N117="x",0,IF(($AU117-6)&lt;$C$5,'Physical Condition Assessment'!$AP117,0)))</f>
        <v>0</v>
      </c>
      <c r="AX117" s="738">
        <f ca="1">IF(SUM(AV117:AW117)&gt;0,0,IF($N117="x",0,IF(($AU117-11)&lt;$C$5,'Physical Condition Assessment'!$AP117,0)))</f>
        <v>0</v>
      </c>
      <c r="AY117" s="738">
        <f ca="1">IF(SUM(AV117:AX117)&gt;0,0,IF($N117="x",0,IF(($AU117-16)&lt;$C$5,'Physical Condition Assessment'!$AP117,0)))</f>
        <v>0</v>
      </c>
    </row>
    <row r="118" spans="1:51" ht="16" thickBot="1" x14ac:dyDescent="0.25">
      <c r="A118" s="755" t="s">
        <v>229</v>
      </c>
      <c r="B118" s="756" t="s">
        <v>247</v>
      </c>
      <c r="C118" s="502" t="s">
        <v>289</v>
      </c>
      <c r="D118" s="502" t="s">
        <v>78</v>
      </c>
      <c r="E118" s="465"/>
      <c r="F118" s="466"/>
      <c r="G118" s="537" t="s">
        <v>41</v>
      </c>
      <c r="H118" s="5"/>
      <c r="I118" s="537" t="s">
        <v>42</v>
      </c>
      <c r="J118" s="5"/>
      <c r="K118" s="537" t="s">
        <v>43</v>
      </c>
      <c r="L118" s="5"/>
      <c r="M118" s="537" t="s">
        <v>44</v>
      </c>
      <c r="N118" s="5"/>
      <c r="O118" s="537" t="s">
        <v>52</v>
      </c>
      <c r="P118" s="5"/>
      <c r="Q118" s="3" t="s">
        <v>52</v>
      </c>
      <c r="R118" s="789"/>
      <c r="S118" s="789"/>
      <c r="T118" s="791"/>
      <c r="U118"/>
      <c r="AE118" s="479"/>
      <c r="AF118" s="480"/>
      <c r="AG118" s="480"/>
      <c r="AH118" s="480"/>
      <c r="AI118" s="480"/>
      <c r="AJ118" s="481"/>
      <c r="AK118" s="481"/>
      <c r="AL118" s="480"/>
      <c r="AM118" s="480"/>
      <c r="AN118" s="480"/>
      <c r="AO118" s="480"/>
      <c r="AP118" s="482"/>
      <c r="AQ118" s="482"/>
      <c r="AR118" s="739"/>
      <c r="AS118" s="739"/>
      <c r="AT118" s="740"/>
      <c r="AU118" s="741"/>
      <c r="AV118" s="741"/>
      <c r="AW118" s="741"/>
      <c r="AX118" s="741"/>
      <c r="AY118" s="742"/>
    </row>
    <row r="119" spans="1:51" ht="16" thickBot="1" x14ac:dyDescent="0.25">
      <c r="A119" s="755"/>
      <c r="B119" s="767" t="s">
        <v>290</v>
      </c>
      <c r="E119" s="769"/>
      <c r="R119" s="796"/>
      <c r="S119" s="503"/>
      <c r="T119" s="788"/>
      <c r="U119"/>
      <c r="AE119" s="496"/>
      <c r="AF119" s="497"/>
      <c r="AG119" s="497"/>
      <c r="AH119" s="497"/>
      <c r="AI119" s="497"/>
      <c r="AJ119" s="498"/>
      <c r="AK119" s="498"/>
      <c r="AL119" s="497"/>
      <c r="AM119" s="497"/>
      <c r="AN119" s="497"/>
      <c r="AO119" s="497"/>
      <c r="AP119" s="499"/>
      <c r="AQ119" s="499"/>
      <c r="AR119" s="751"/>
      <c r="AS119" s="751"/>
      <c r="AT119" s="752"/>
      <c r="AU119" s="753"/>
      <c r="AV119" s="753"/>
      <c r="AW119" s="753"/>
      <c r="AX119" s="753"/>
      <c r="AY119" s="754"/>
    </row>
    <row r="120" spans="1:51" ht="16" thickBot="1" x14ac:dyDescent="0.25">
      <c r="A120" s="755" t="s">
        <v>229</v>
      </c>
      <c r="B120" s="618" t="s">
        <v>290</v>
      </c>
      <c r="C120" s="502" t="s">
        <v>291</v>
      </c>
      <c r="D120" s="772"/>
      <c r="E120" s="728"/>
      <c r="F120" s="729"/>
      <c r="G120" s="537" t="s">
        <v>41</v>
      </c>
      <c r="H120" s="732"/>
      <c r="I120" s="537" t="s">
        <v>42</v>
      </c>
      <c r="J120" s="732"/>
      <c r="K120" s="537" t="s">
        <v>43</v>
      </c>
      <c r="L120" s="732"/>
      <c r="M120" s="537" t="s">
        <v>44</v>
      </c>
      <c r="N120" s="732"/>
      <c r="O120" s="537" t="s">
        <v>52</v>
      </c>
      <c r="P120" s="2"/>
      <c r="Q120" s="3" t="s">
        <v>52</v>
      </c>
      <c r="R120" s="783"/>
      <c r="S120" s="784">
        <f>'Base Information Sheet'!$B$23*'Physical Condition Assessment'!E120*'PCA Cost Tables - READ ONLY'!P120*'Physical Condition Assessment'!R120*'Base Information Sheet'!$B$38*'Base Information Sheet'!$B$37</f>
        <v>0</v>
      </c>
      <c r="T120" s="786"/>
      <c r="U120" t="s">
        <v>292</v>
      </c>
      <c r="V120" s="502" t="s">
        <v>293</v>
      </c>
      <c r="AE120" s="475" t="s">
        <v>71</v>
      </c>
      <c r="AF120" s="475"/>
      <c r="AG120" s="475" t="s">
        <v>72</v>
      </c>
      <c r="AH120" s="476">
        <f>_xlfn.XLOOKUP($U120,'PCA Cost Tables - READ ONLY'!$E$10:$E$172,'PCA Cost Tables - READ ONLY'!$F$10:$F$172,"BLANK",0)</f>
        <v>1.5583290000000001</v>
      </c>
      <c r="AI120" s="476">
        <f>_xlfn.XLOOKUP($U120,'PCA Cost Tables - READ ONLY'!$E$10:$E$172,'PCA Cost Tables - READ ONLY'!$H$10:$H$172,"BLANK",0)</f>
        <v>5.616156000000001</v>
      </c>
      <c r="AJ120" s="476">
        <f>_xlfn.XLOOKUP($U120,'PCA Cost Tables - READ ONLY'!$E$10:$E$172,'PCA Cost Tables - READ ONLY'!$J$10:$J$172,"BLANK",0)</f>
        <v>14.271825</v>
      </c>
      <c r="AK120" s="476">
        <f>_xlfn.XLOOKUP($U120,'PCA Cost Tables - READ ONLY'!$E$10:$E$172,'PCA Cost Tables - READ ONLY'!$L$10:$L$172,"BLANK",0)</f>
        <v>28.759656000000003</v>
      </c>
      <c r="AL120" s="477" t="str">
        <f>IF($AE120="SF",IF($AF120="X",'Base Information Sheet'!$B$23*'Physical Condition Assessment'!$E120*'Physical Condition Assessment'!$AJ120,"-"))</f>
        <v>-</v>
      </c>
      <c r="AM120" s="477">
        <f>IF($AE120="SF",IF($AG120="X",'Base Information Sheet'!$B$23*'Physical Condition Assessment'!$E120*'Physical Condition Assessment'!$AK120,"-"))</f>
        <v>0</v>
      </c>
      <c r="AN120" s="477" t="b">
        <f>IF($AE120="Unit",IF($AF120="X",'Physical Condition Assessment'!$E120*'Physical Condition Assessment'!$AJ120,"-"))</f>
        <v>0</v>
      </c>
      <c r="AO120" s="477" t="b">
        <f>IF($AE120="Unit",IF($AG120="X",'Physical Condition Assessment'!$E120*'Physical Condition Assessment'!$AK120,"-"))</f>
        <v>0</v>
      </c>
      <c r="AP120" s="477">
        <f t="shared" si="2"/>
        <v>0</v>
      </c>
      <c r="AQ120" s="478" t="e">
        <f t="shared" si="3"/>
        <v>#DIV/0!</v>
      </c>
      <c r="AR120" s="735"/>
      <c r="AS120" s="735">
        <v>24</v>
      </c>
      <c r="AT120" s="737">
        <f ca="1">IF($AR120&gt;0,$C$5-$AR120,$C$5-'Base Information Sheet'!$B$15)</f>
        <v>2026</v>
      </c>
      <c r="AU120" s="737">
        <f>IF($AR120&gt;0,$AR120+$AS120,'Base Information Sheet'!$B$15+'Physical Condition Assessment'!$AS120)</f>
        <v>24</v>
      </c>
      <c r="AV120" s="738">
        <f ca="1">IF($N120="x",0,IF($AU120&lt;=$C$5,'Physical Condition Assessment'!$AP120,0))</f>
        <v>0</v>
      </c>
      <c r="AW120" s="738">
        <f ca="1">IF(AV120&gt;0,0,IF($N120="x",0,IF(($AU120-6)&lt;$C$5,'Physical Condition Assessment'!$AP120,0)))</f>
        <v>0</v>
      </c>
      <c r="AX120" s="738">
        <f ca="1">IF(SUM(AV120:AW120)&gt;0,0,IF($N120="x",0,IF(($AU120-11)&lt;$C$5,'Physical Condition Assessment'!$AP120,0)))</f>
        <v>0</v>
      </c>
      <c r="AY120" s="738">
        <f ca="1">IF(SUM(AV120:AX120)&gt;0,0,IF($N120="x",0,IF(($AU120-16)&lt;$C$5,'Physical Condition Assessment'!$AP120,0)))</f>
        <v>0</v>
      </c>
    </row>
    <row r="121" spans="1:51" ht="16" thickBot="1" x14ac:dyDescent="0.25">
      <c r="A121" s="755" t="s">
        <v>229</v>
      </c>
      <c r="B121" s="756" t="s">
        <v>290</v>
      </c>
      <c r="C121" s="502" t="s">
        <v>294</v>
      </c>
      <c r="D121" s="772"/>
      <c r="E121" s="728"/>
      <c r="F121" s="729"/>
      <c r="G121" s="537" t="s">
        <v>41</v>
      </c>
      <c r="H121" s="732"/>
      <c r="I121" s="537" t="s">
        <v>42</v>
      </c>
      <c r="J121" s="732"/>
      <c r="K121" s="537" t="s">
        <v>43</v>
      </c>
      <c r="L121" s="732"/>
      <c r="M121" s="537" t="s">
        <v>44</v>
      </c>
      <c r="N121" s="732"/>
      <c r="O121" s="537" t="s">
        <v>52</v>
      </c>
      <c r="P121" s="2"/>
      <c r="Q121" s="3" t="s">
        <v>52</v>
      </c>
      <c r="R121" s="783"/>
      <c r="S121" s="784">
        <f>'Base Information Sheet'!$B$23*'Physical Condition Assessment'!E121*'PCA Cost Tables - READ ONLY'!P121*'Physical Condition Assessment'!R121*'Base Information Sheet'!$B$38*'Base Information Sheet'!$B$37</f>
        <v>0</v>
      </c>
      <c r="T121" s="786"/>
      <c r="U121" t="s">
        <v>295</v>
      </c>
      <c r="V121" s="502" t="s">
        <v>293</v>
      </c>
      <c r="AE121" s="475" t="s">
        <v>71</v>
      </c>
      <c r="AF121" s="475"/>
      <c r="AG121" s="475" t="s">
        <v>72</v>
      </c>
      <c r="AH121" s="476">
        <f>_xlfn.XLOOKUP($U121,'PCA Cost Tables - READ ONLY'!$E$10:$E$172,'PCA Cost Tables - READ ONLY'!$F$10:$F$172,"BLANK",0)</f>
        <v>2.1292019999999998</v>
      </c>
      <c r="AI121" s="476">
        <f>_xlfn.XLOOKUP($U121,'PCA Cost Tables - READ ONLY'!$E$10:$E$172,'PCA Cost Tables - READ ONLY'!$H$10:$H$172,"BLANK",0)</f>
        <v>3.4560960000000005</v>
      </c>
      <c r="AJ121" s="476">
        <f>_xlfn.XLOOKUP($U121,'PCA Cost Tables - READ ONLY'!$E$10:$E$172,'PCA Cost Tables - READ ONLY'!$J$10:$J$172,"BLANK",0)</f>
        <v>8.8716749999999998</v>
      </c>
      <c r="AK121" s="476">
        <f>_xlfn.XLOOKUP($U121,'PCA Cost Tables - READ ONLY'!$E$10:$E$172,'PCA Cost Tables - READ ONLY'!$L$10:$L$172,"BLANK",0)</f>
        <v>15.799296</v>
      </c>
      <c r="AL121" s="477" t="str">
        <f>IF($AE121="SF",IF($AF121="X",'Base Information Sheet'!$B$23*'Physical Condition Assessment'!$E121*'Physical Condition Assessment'!$AJ121,"-"))</f>
        <v>-</v>
      </c>
      <c r="AM121" s="477">
        <f>IF($AE121="SF",IF($AG121="X",'Base Information Sheet'!$B$23*'Physical Condition Assessment'!$E121*'Physical Condition Assessment'!$AK121,"-"))</f>
        <v>0</v>
      </c>
      <c r="AN121" s="477" t="b">
        <f>IF($AE121="Unit",IF($AF121="X",'Physical Condition Assessment'!$E121*'Physical Condition Assessment'!$AJ121,"-"))</f>
        <v>0</v>
      </c>
      <c r="AO121" s="477" t="b">
        <f>IF($AE121="Unit",IF($AG121="X",'Physical Condition Assessment'!$E121*'Physical Condition Assessment'!$AK121,"-"))</f>
        <v>0</v>
      </c>
      <c r="AP121" s="477">
        <f t="shared" si="2"/>
        <v>0</v>
      </c>
      <c r="AQ121" s="478" t="e">
        <f t="shared" si="3"/>
        <v>#DIV/0!</v>
      </c>
      <c r="AR121" s="735"/>
      <c r="AS121" s="735">
        <v>25</v>
      </c>
      <c r="AT121" s="737">
        <f ca="1">IF($AR121&gt;0,$C$5-$AR121,$C$5-'Base Information Sheet'!$B$15)</f>
        <v>2026</v>
      </c>
      <c r="AU121" s="737">
        <f>IF($AR121&gt;0,$AR121+$AS121,'Base Information Sheet'!$B$15+'Physical Condition Assessment'!$AS121)</f>
        <v>25</v>
      </c>
      <c r="AV121" s="738">
        <f ca="1">IF($N121="x",0,IF($AU121&lt;=$C$5,'Physical Condition Assessment'!$AP121,0))</f>
        <v>0</v>
      </c>
      <c r="AW121" s="738">
        <f ca="1">IF(AV121&gt;0,0,IF($N121="x",0,IF(($AU121-6)&lt;$C$5,'Physical Condition Assessment'!$AP121,0)))</f>
        <v>0</v>
      </c>
      <c r="AX121" s="738">
        <f ca="1">IF(SUM(AV121:AW121)&gt;0,0,IF($N121="x",0,IF(($AU121-11)&lt;$C$5,'Physical Condition Assessment'!$AP121,0)))</f>
        <v>0</v>
      </c>
      <c r="AY121" s="738">
        <f ca="1">IF(SUM(AV121:AX121)&gt;0,0,IF($N121="x",0,IF(($AU121-16)&lt;$C$5,'Physical Condition Assessment'!$AP121,0)))</f>
        <v>0</v>
      </c>
    </row>
    <row r="122" spans="1:51" ht="16" thickBot="1" x14ac:dyDescent="0.25">
      <c r="A122" s="755" t="s">
        <v>229</v>
      </c>
      <c r="B122" s="756" t="s">
        <v>290</v>
      </c>
      <c r="C122" s="502" t="s">
        <v>296</v>
      </c>
      <c r="D122" s="772"/>
      <c r="E122" s="728"/>
      <c r="F122" s="729"/>
      <c r="G122" s="537" t="s">
        <v>41</v>
      </c>
      <c r="H122" s="732"/>
      <c r="I122" s="537" t="s">
        <v>42</v>
      </c>
      <c r="J122" s="732"/>
      <c r="K122" s="537" t="s">
        <v>43</v>
      </c>
      <c r="L122" s="732"/>
      <c r="M122" s="537" t="s">
        <v>44</v>
      </c>
      <c r="N122" s="732"/>
      <c r="O122" s="537" t="s">
        <v>52</v>
      </c>
      <c r="P122" s="2"/>
      <c r="Q122" s="3" t="s">
        <v>52</v>
      </c>
      <c r="R122" s="783"/>
      <c r="S122" s="784">
        <f>'Base Information Sheet'!$B$23*'Physical Condition Assessment'!E122*'PCA Cost Tables - READ ONLY'!P122*'Physical Condition Assessment'!R122*'Base Information Sheet'!$B$38*'Base Information Sheet'!$B$37</f>
        <v>0</v>
      </c>
      <c r="T122" s="786"/>
      <c r="U122" t="s">
        <v>297</v>
      </c>
      <c r="V122" s="502" t="s">
        <v>293</v>
      </c>
      <c r="AE122" s="475" t="s">
        <v>71</v>
      </c>
      <c r="AF122" s="475"/>
      <c r="AG122" s="475" t="s">
        <v>72</v>
      </c>
      <c r="AH122" s="476">
        <f>_xlfn.XLOOKUP($U122,'PCA Cost Tables - READ ONLY'!$E$10:$E$172,'PCA Cost Tables - READ ONLY'!$F$10:$F$172,"BLANK",0)</f>
        <v>11.539338000000001</v>
      </c>
      <c r="AI122" s="476">
        <f>_xlfn.XLOOKUP($U122,'PCA Cost Tables - READ ONLY'!$E$10:$E$172,'PCA Cost Tables - READ ONLY'!$H$10:$H$172,"BLANK",0)</f>
        <v>11.539338000000001</v>
      </c>
      <c r="AJ122" s="476">
        <f>_xlfn.XLOOKUP($U122,'PCA Cost Tables - READ ONLY'!$E$10:$E$172,'PCA Cost Tables - READ ONLY'!$J$10:$J$172,"BLANK",0)</f>
        <v>43.419870000000003</v>
      </c>
      <c r="AK122" s="476">
        <f>_xlfn.XLOOKUP($U122,'PCA Cost Tables - READ ONLY'!$E$10:$E$172,'PCA Cost Tables - READ ONLY'!$L$10:$L$172,"BLANK",0)</f>
        <v>63.066869999999994</v>
      </c>
      <c r="AL122" s="477" t="str">
        <f>IF($AE122="SF",IF($AF122="X",'Base Information Sheet'!$B$23*'Physical Condition Assessment'!$E122*'Physical Condition Assessment'!$AJ122,"-"))</f>
        <v>-</v>
      </c>
      <c r="AM122" s="477">
        <f>IF($AE122="SF",IF($AG122="X",'Base Information Sheet'!$B$23*'Physical Condition Assessment'!$E122*'Physical Condition Assessment'!$AK122,"-"))</f>
        <v>0</v>
      </c>
      <c r="AN122" s="477" t="b">
        <f>IF($AE122="Unit",IF($AF122="X",'Physical Condition Assessment'!$E122*'Physical Condition Assessment'!$AJ122,"-"))</f>
        <v>0</v>
      </c>
      <c r="AO122" s="477" t="b">
        <f>IF($AE122="Unit",IF($AG122="X",'Physical Condition Assessment'!$E122*'Physical Condition Assessment'!$AK122,"-"))</f>
        <v>0</v>
      </c>
      <c r="AP122" s="477">
        <f t="shared" si="2"/>
        <v>0</v>
      </c>
      <c r="AQ122" s="478" t="e">
        <f t="shared" si="3"/>
        <v>#DIV/0!</v>
      </c>
      <c r="AR122" s="735"/>
      <c r="AS122" s="735">
        <v>25</v>
      </c>
      <c r="AT122" s="737">
        <f ca="1">IF($AR122&gt;0,$C$5-$AR122,$C$5-'Base Information Sheet'!$B$15)</f>
        <v>2026</v>
      </c>
      <c r="AU122" s="737">
        <f>IF($AR122&gt;0,$AR122+$AS122,'Base Information Sheet'!$B$15+'Physical Condition Assessment'!$AS122)</f>
        <v>25</v>
      </c>
      <c r="AV122" s="738">
        <f ca="1">IF($N122="x",0,IF($AU122&lt;=$C$5,'Physical Condition Assessment'!$AP122,0))</f>
        <v>0</v>
      </c>
      <c r="AW122" s="738">
        <f ca="1">IF(AV122&gt;0,0,IF($N122="x",0,IF(($AU122-6)&lt;$C$5,'Physical Condition Assessment'!$AP122,0)))</f>
        <v>0</v>
      </c>
      <c r="AX122" s="738">
        <f ca="1">IF(SUM(AV122:AW122)&gt;0,0,IF($N122="x",0,IF(($AU122-11)&lt;$C$5,'Physical Condition Assessment'!$AP122,0)))</f>
        <v>0</v>
      </c>
      <c r="AY122" s="738">
        <f ca="1">IF(SUM(AV122:AX122)&gt;0,0,IF($N122="x",0,IF(($AU122-16)&lt;$C$5,'Physical Condition Assessment'!$AP122,0)))</f>
        <v>0</v>
      </c>
    </row>
    <row r="123" spans="1:51" ht="16" thickBot="1" x14ac:dyDescent="0.25">
      <c r="A123" s="755" t="s">
        <v>229</v>
      </c>
      <c r="B123" s="756" t="s">
        <v>290</v>
      </c>
      <c r="C123" s="502" t="s">
        <v>298</v>
      </c>
      <c r="D123" s="502" t="s">
        <v>78</v>
      </c>
      <c r="E123" s="465"/>
      <c r="F123" s="466"/>
      <c r="G123" s="537" t="s">
        <v>41</v>
      </c>
      <c r="H123" s="2"/>
      <c r="I123" s="537" t="s">
        <v>42</v>
      </c>
      <c r="J123" s="2"/>
      <c r="K123" s="537" t="s">
        <v>43</v>
      </c>
      <c r="L123" s="2"/>
      <c r="M123" s="537" t="s">
        <v>44</v>
      </c>
      <c r="N123" s="5"/>
      <c r="O123" s="537" t="s">
        <v>52</v>
      </c>
      <c r="P123" s="5"/>
      <c r="Q123" s="3" t="s">
        <v>52</v>
      </c>
      <c r="R123" s="789"/>
      <c r="S123" s="797"/>
      <c r="T123" s="791"/>
      <c r="U123"/>
      <c r="AE123" s="475" t="s">
        <v>71</v>
      </c>
      <c r="AF123" s="475"/>
      <c r="AG123" s="475" t="s">
        <v>72</v>
      </c>
      <c r="AH123" s="476">
        <f>_xlfn.XLOOKUP($U123,'PCA Cost Tables - READ ONLY'!$E$10:$E$172,'PCA Cost Tables - READ ONLY'!$F$10:$F$172,"BLANK",0)</f>
        <v>0</v>
      </c>
      <c r="AI123" s="476">
        <f>_xlfn.XLOOKUP($U123,'PCA Cost Tables - READ ONLY'!$E$10:$E$172,'PCA Cost Tables - READ ONLY'!$H$10:$H$172,"BLANK",0)</f>
        <v>0</v>
      </c>
      <c r="AJ123" s="476">
        <f>_xlfn.XLOOKUP($U123,'PCA Cost Tables - READ ONLY'!$E$10:$E$172,'PCA Cost Tables - READ ONLY'!$J$10:$J$172,"BLANK",0)</f>
        <v>0</v>
      </c>
      <c r="AK123" s="476">
        <f>_xlfn.XLOOKUP($U123,'PCA Cost Tables - READ ONLY'!$E$10:$E$172,'PCA Cost Tables - READ ONLY'!$L$10:$L$172,"BLANK",0)</f>
        <v>0</v>
      </c>
      <c r="AL123" s="477" t="str">
        <f>IF($AE123="SF",IF($AF123="X",'Base Information Sheet'!$B$23*'Physical Condition Assessment'!$E123*'Physical Condition Assessment'!$AJ123,"-"))</f>
        <v>-</v>
      </c>
      <c r="AM123" s="477">
        <f>IF($AE123="SF",IF($AG123="X",'Base Information Sheet'!$B$23*'Physical Condition Assessment'!$E123*'Physical Condition Assessment'!$AK123,"-"))</f>
        <v>0</v>
      </c>
      <c r="AN123" s="477" t="b">
        <f>IF($AE123="Unit",IF($AF123="X",'Physical Condition Assessment'!$E123*'Physical Condition Assessment'!$AJ123,"-"))</f>
        <v>0</v>
      </c>
      <c r="AO123" s="477" t="b">
        <f>IF($AE123="Unit",IF($AG123="X",'Physical Condition Assessment'!$E123*'Physical Condition Assessment'!$AK123,"-"))</f>
        <v>0</v>
      </c>
      <c r="AP123" s="477">
        <f t="shared" si="2"/>
        <v>0</v>
      </c>
      <c r="AQ123" s="478" t="e">
        <f t="shared" si="3"/>
        <v>#DIV/0!</v>
      </c>
      <c r="AR123" s="735"/>
      <c r="AS123" s="735">
        <v>25</v>
      </c>
      <c r="AT123" s="737">
        <v>65</v>
      </c>
      <c r="AU123" s="737">
        <v>1983</v>
      </c>
      <c r="AV123" s="738">
        <f ca="1">IF($N123="x",0,IF($AU123&lt;=$C$5,'Physical Condition Assessment'!$AP123,0))</f>
        <v>0</v>
      </c>
      <c r="AW123" s="738">
        <f ca="1">IF(AV123&gt;0,0,IF($N123="x",0,IF(($AU123-6)&lt;$C$5,'Physical Condition Assessment'!$AP123,0)))</f>
        <v>0</v>
      </c>
      <c r="AX123" s="738">
        <f ca="1">IF(SUM(AV123:AW123)&gt;0,0,IF($N123="x",0,IF(($AU123-11)&lt;$C$5,'Physical Condition Assessment'!$AP123,0)))</f>
        <v>0</v>
      </c>
      <c r="AY123" s="738">
        <f ca="1">IF(SUM(AV123:AX123)&gt;0,0,IF($N123="x",0,IF(($AU123-16)&lt;$C$5,'Physical Condition Assessment'!$AP123,0)))</f>
        <v>0</v>
      </c>
    </row>
    <row r="124" spans="1:51" ht="16" thickBot="1" x14ac:dyDescent="0.25">
      <c r="A124" s="755"/>
      <c r="B124" s="767" t="s">
        <v>299</v>
      </c>
      <c r="E124" s="769"/>
      <c r="R124" s="796"/>
      <c r="S124" s="503"/>
      <c r="T124" s="788"/>
      <c r="U124"/>
      <c r="AE124" s="479"/>
      <c r="AF124" s="480"/>
      <c r="AG124" s="480"/>
      <c r="AH124" s="480"/>
      <c r="AI124" s="480"/>
      <c r="AJ124" s="481"/>
      <c r="AK124" s="481"/>
      <c r="AL124" s="480"/>
      <c r="AM124" s="480"/>
      <c r="AN124" s="480"/>
      <c r="AO124" s="480"/>
      <c r="AP124" s="482"/>
      <c r="AQ124" s="482"/>
      <c r="AR124" s="739"/>
      <c r="AS124" s="739"/>
      <c r="AT124" s="740"/>
      <c r="AU124" s="741"/>
      <c r="AV124" s="741"/>
      <c r="AW124" s="741"/>
      <c r="AX124" s="741"/>
      <c r="AY124" s="742"/>
    </row>
    <row r="125" spans="1:51" ht="16" thickBot="1" x14ac:dyDescent="0.25">
      <c r="A125" s="755" t="s">
        <v>229</v>
      </c>
      <c r="B125" s="618" t="s">
        <v>299</v>
      </c>
      <c r="C125" s="502" t="s">
        <v>300</v>
      </c>
      <c r="E125" s="728"/>
      <c r="F125" s="729"/>
      <c r="G125" s="537" t="s">
        <v>41</v>
      </c>
      <c r="H125" s="732"/>
      <c r="I125" s="537" t="s">
        <v>42</v>
      </c>
      <c r="J125" s="732"/>
      <c r="K125" s="537" t="s">
        <v>43</v>
      </c>
      <c r="L125" s="732"/>
      <c r="M125" s="537" t="s">
        <v>44</v>
      </c>
      <c r="N125" s="732"/>
      <c r="O125" s="537" t="s">
        <v>52</v>
      </c>
      <c r="P125" s="2"/>
      <c r="Q125" s="3" t="s">
        <v>52</v>
      </c>
      <c r="R125" s="783"/>
      <c r="S125" s="784">
        <f>'Base Information Sheet'!$B$23*'Physical Condition Assessment'!E125*'PCA Cost Tables - READ ONLY'!P125*'Physical Condition Assessment'!R125*'Base Information Sheet'!$B$38*'Base Information Sheet'!$B$37</f>
        <v>0</v>
      </c>
      <c r="T125" s="786"/>
      <c r="U125" t="s">
        <v>301</v>
      </c>
      <c r="V125" s="502" t="s">
        <v>302</v>
      </c>
      <c r="AE125" s="475" t="s">
        <v>71</v>
      </c>
      <c r="AF125" s="475"/>
      <c r="AG125" s="475" t="s">
        <v>72</v>
      </c>
      <c r="AH125" s="476">
        <f>_xlfn.XLOOKUP($U125,'PCA Cost Tables - READ ONLY'!$E$10:$E$172,'PCA Cost Tables - READ ONLY'!$F$10:$F$172,"BLANK",0)</f>
        <v>1.9119119999999998</v>
      </c>
      <c r="AI125" s="476">
        <f>_xlfn.XLOOKUP($U125,'PCA Cost Tables - READ ONLY'!$E$10:$E$172,'PCA Cost Tables - READ ONLY'!$H$10:$H$172,"BLANK",0)</f>
        <v>5.5647520000000004</v>
      </c>
      <c r="AJ125" s="476">
        <f>_xlfn.XLOOKUP($U125,'PCA Cost Tables - READ ONLY'!$E$10:$E$172,'PCA Cost Tables - READ ONLY'!$J$10:$J$172,"BLANK",0)</f>
        <v>9.7460880000000003</v>
      </c>
      <c r="AK125" s="476">
        <f>_xlfn.XLOOKUP($U125,'PCA Cost Tables - READ ONLY'!$E$10:$E$172,'PCA Cost Tables - READ ONLY'!$L$10:$L$172,"BLANK",0)</f>
        <v>12.606183999999999</v>
      </c>
      <c r="AL125" s="477" t="str">
        <f>IF($AE125="SF",IF($AF125="X",'Base Information Sheet'!$B$23*'Physical Condition Assessment'!$E125*'Physical Condition Assessment'!$AJ125,"-"))</f>
        <v>-</v>
      </c>
      <c r="AM125" s="477">
        <f>IF($AE125="SF",IF($AG125="X",'Base Information Sheet'!$B$23*'Physical Condition Assessment'!$E125*'Physical Condition Assessment'!$AK125,"-"))</f>
        <v>0</v>
      </c>
      <c r="AN125" s="477" t="b">
        <f>IF($AE125="Unit",IF($AF125="X",'Physical Condition Assessment'!$E125*'Physical Condition Assessment'!$AJ125,"-"))</f>
        <v>0</v>
      </c>
      <c r="AO125" s="477" t="b">
        <f>IF($AE125="Unit",IF($AG125="X",'Physical Condition Assessment'!$E125*'Physical Condition Assessment'!$AK125,"-"))</f>
        <v>0</v>
      </c>
      <c r="AP125" s="477">
        <f t="shared" si="2"/>
        <v>0</v>
      </c>
      <c r="AQ125" s="478" t="e">
        <f t="shared" si="3"/>
        <v>#DIV/0!</v>
      </c>
      <c r="AR125" s="735"/>
      <c r="AS125" s="735">
        <v>11</v>
      </c>
      <c r="AT125" s="737">
        <f ca="1">IF($AR125&gt;0,$C$5-$AR125,$C$5-'Base Information Sheet'!$B$15)</f>
        <v>2026</v>
      </c>
      <c r="AU125" s="737">
        <f>IF($AR125&gt;0,$AR125+$AS125,'Base Information Sheet'!$B$15+'Physical Condition Assessment'!$AS125)</f>
        <v>11</v>
      </c>
      <c r="AV125" s="738">
        <f ca="1">IF($N125="x",0,IF($AU125&lt;=$C$5,'Physical Condition Assessment'!$AP125,0))</f>
        <v>0</v>
      </c>
      <c r="AW125" s="738">
        <f ca="1">IF(AV125&gt;0,0,IF($N125="x",0,IF(($AU125-6)&lt;$C$5,'Physical Condition Assessment'!$AP125,0)))</f>
        <v>0</v>
      </c>
      <c r="AX125" s="738">
        <f ca="1">IF(SUM(AV125:AW125)&gt;0,0,IF($N125="x",0,IF(($AU125-11)&lt;$C$5,'Physical Condition Assessment'!$AP125,0)))</f>
        <v>0</v>
      </c>
      <c r="AY125" s="738">
        <f ca="1">IF(SUM(AV125:AX125)&gt;0,0,IF($N125="x",0,IF(($AU125-16)&lt;$C$5,'Physical Condition Assessment'!$AP125,0)))</f>
        <v>0</v>
      </c>
    </row>
    <row r="126" spans="1:51" ht="16" thickBot="1" x14ac:dyDescent="0.25">
      <c r="A126" s="755" t="s">
        <v>229</v>
      </c>
      <c r="B126" s="756" t="s">
        <v>299</v>
      </c>
      <c r="C126" s="502" t="s">
        <v>303</v>
      </c>
      <c r="E126" s="728"/>
      <c r="F126" s="729"/>
      <c r="G126" s="537" t="s">
        <v>41</v>
      </c>
      <c r="H126" s="732"/>
      <c r="I126" s="537" t="s">
        <v>42</v>
      </c>
      <c r="J126" s="732"/>
      <c r="K126" s="537" t="s">
        <v>43</v>
      </c>
      <c r="L126" s="732"/>
      <c r="M126" s="537" t="s">
        <v>44</v>
      </c>
      <c r="N126" s="732"/>
      <c r="O126" s="537" t="s">
        <v>52</v>
      </c>
      <c r="P126" s="2"/>
      <c r="Q126" s="3" t="s">
        <v>52</v>
      </c>
      <c r="R126" s="783"/>
      <c r="S126" s="784">
        <f>'Base Information Sheet'!$B$23*'Physical Condition Assessment'!E126*'PCA Cost Tables - READ ONLY'!P126*'Physical Condition Assessment'!R126*'Base Information Sheet'!$B$38*'Base Information Sheet'!$B$37</f>
        <v>0</v>
      </c>
      <c r="T126" s="786"/>
      <c r="U126" t="s">
        <v>304</v>
      </c>
      <c r="V126" s="502" t="s">
        <v>302</v>
      </c>
      <c r="AE126" s="475" t="s">
        <v>71</v>
      </c>
      <c r="AF126" s="475"/>
      <c r="AG126" s="475" t="s">
        <v>72</v>
      </c>
      <c r="AH126" s="476">
        <f>_xlfn.XLOOKUP($U126,'PCA Cost Tables - READ ONLY'!$E$10:$E$172,'PCA Cost Tables - READ ONLY'!$F$10:$F$172,"BLANK",0)</f>
        <v>1.9119119999999998</v>
      </c>
      <c r="AI126" s="476">
        <f>_xlfn.XLOOKUP($U126,'PCA Cost Tables - READ ONLY'!$E$10:$E$172,'PCA Cost Tables - READ ONLY'!$H$10:$H$172,"BLANK",0)</f>
        <v>6.2176</v>
      </c>
      <c r="AJ126" s="476">
        <f>_xlfn.XLOOKUP($U126,'PCA Cost Tables - READ ONLY'!$E$10:$E$172,'PCA Cost Tables - READ ONLY'!$J$10:$J$172,"BLANK",0)</f>
        <v>8.5336560000000006</v>
      </c>
      <c r="AK126" s="476">
        <f>_xlfn.XLOOKUP($U126,'PCA Cost Tables - READ ONLY'!$E$10:$E$172,'PCA Cost Tables - READ ONLY'!$L$10:$L$172,"BLANK",0)</f>
        <v>27.979199999999999</v>
      </c>
      <c r="AL126" s="477" t="str">
        <f>IF($AE126="SF",IF($AF126="X",'Base Information Sheet'!$B$23*'Physical Condition Assessment'!$E126*'Physical Condition Assessment'!$AJ126,"-"))</f>
        <v>-</v>
      </c>
      <c r="AM126" s="477">
        <f>IF($AE126="SF",IF($AG126="X",'Base Information Sheet'!$B$23*'Physical Condition Assessment'!$E126*'Physical Condition Assessment'!$AK126,"-"))</f>
        <v>0</v>
      </c>
      <c r="AN126" s="477" t="b">
        <f>IF($AE126="Unit",IF($AF126="X",'Physical Condition Assessment'!$E126*'Physical Condition Assessment'!$AJ126,"-"))</f>
        <v>0</v>
      </c>
      <c r="AO126" s="477" t="b">
        <f>IF($AE126="Unit",IF($AG126="X",'Physical Condition Assessment'!$E126*'Physical Condition Assessment'!$AK126,"-"))</f>
        <v>0</v>
      </c>
      <c r="AP126" s="477">
        <f t="shared" si="2"/>
        <v>0</v>
      </c>
      <c r="AQ126" s="478" t="e">
        <f t="shared" si="3"/>
        <v>#DIV/0!</v>
      </c>
      <c r="AR126" s="735"/>
      <c r="AS126" s="735">
        <v>12</v>
      </c>
      <c r="AT126" s="737">
        <f ca="1">IF($AR126&gt;0,$C$5-$AR126,$C$5-'Base Information Sheet'!$B$15)</f>
        <v>2026</v>
      </c>
      <c r="AU126" s="737">
        <f>IF($AR126&gt;0,$AR126+$AS126,'Base Information Sheet'!$B$15+'Physical Condition Assessment'!$AS126)</f>
        <v>12</v>
      </c>
      <c r="AV126" s="738">
        <f ca="1">IF($N126="x",0,IF($AU126&lt;=$C$5,'Physical Condition Assessment'!$AP126,0))</f>
        <v>0</v>
      </c>
      <c r="AW126" s="738">
        <f ca="1">IF(AV126&gt;0,0,IF($N126="x",0,IF(($AU126-6)&lt;$C$5,'Physical Condition Assessment'!$AP126,0)))</f>
        <v>0</v>
      </c>
      <c r="AX126" s="738">
        <f ca="1">IF(SUM(AV126:AW126)&gt;0,0,IF($N126="x",0,IF(($AU126-11)&lt;$C$5,'Physical Condition Assessment'!$AP126,0)))</f>
        <v>0</v>
      </c>
      <c r="AY126" s="738">
        <f ca="1">IF(SUM(AV126:AX126)&gt;0,0,IF($N126="x",0,IF(($AU126-16)&lt;$C$5,'Physical Condition Assessment'!$AP126,0)))</f>
        <v>0</v>
      </c>
    </row>
    <row r="127" spans="1:51" ht="16" thickBot="1" x14ac:dyDescent="0.25">
      <c r="A127" s="755" t="s">
        <v>229</v>
      </c>
      <c r="B127" s="756" t="s">
        <v>299</v>
      </c>
      <c r="C127" s="502" t="s">
        <v>305</v>
      </c>
      <c r="D127" s="502" t="s">
        <v>306</v>
      </c>
      <c r="E127" s="728"/>
      <c r="F127" s="729"/>
      <c r="G127" s="537" t="s">
        <v>41</v>
      </c>
      <c r="H127" s="732"/>
      <c r="I127" s="537" t="s">
        <v>42</v>
      </c>
      <c r="J127" s="732"/>
      <c r="K127" s="537" t="s">
        <v>43</v>
      </c>
      <c r="L127" s="732"/>
      <c r="M127" s="537" t="s">
        <v>44</v>
      </c>
      <c r="N127" s="732"/>
      <c r="O127" s="537" t="s">
        <v>52</v>
      </c>
      <c r="P127" s="2"/>
      <c r="Q127" s="3" t="s">
        <v>52</v>
      </c>
      <c r="R127" s="783"/>
      <c r="S127" s="784">
        <f>'Base Information Sheet'!$B$23*'Physical Condition Assessment'!E127*'PCA Cost Tables - READ ONLY'!P127*'Physical Condition Assessment'!R127*'Base Information Sheet'!$B$38*'Base Information Sheet'!$B$37</f>
        <v>0</v>
      </c>
      <c r="T127" s="786"/>
      <c r="U127" t="s">
        <v>307</v>
      </c>
      <c r="V127" s="502" t="s">
        <v>302</v>
      </c>
      <c r="AE127" s="475" t="s">
        <v>71</v>
      </c>
      <c r="AF127" s="475"/>
      <c r="AG127" s="475" t="s">
        <v>72</v>
      </c>
      <c r="AH127" s="476">
        <f>_xlfn.XLOOKUP($U127,'PCA Cost Tables - READ ONLY'!$E$10:$E$172,'PCA Cost Tables - READ ONLY'!$F$10:$F$172,"BLANK",0)</f>
        <v>0.31087999999999999</v>
      </c>
      <c r="AI127" s="476">
        <f>_xlfn.XLOOKUP($U127,'PCA Cost Tables - READ ONLY'!$E$10:$E$172,'PCA Cost Tables - READ ONLY'!$H$10:$H$172,"BLANK",0)</f>
        <v>1.9119119999999998</v>
      </c>
      <c r="AJ127" s="476">
        <f>_xlfn.XLOOKUP($U127,'PCA Cost Tables - READ ONLY'!$E$10:$E$172,'PCA Cost Tables - READ ONLY'!$J$10:$J$172,"BLANK",0)</f>
        <v>5.6580159999999999</v>
      </c>
      <c r="AK127" s="476">
        <f>_xlfn.XLOOKUP($U127,'PCA Cost Tables - READ ONLY'!$E$10:$E$172,'PCA Cost Tables - READ ONLY'!$L$10:$L$172,"BLANK",0)</f>
        <v>18.652799999999999</v>
      </c>
      <c r="AL127" s="477" t="str">
        <f>IF($AE127="SF",IF($AF127="X",'Base Information Sheet'!$B$23*'Physical Condition Assessment'!$E127*'Physical Condition Assessment'!$AJ127,"-"))</f>
        <v>-</v>
      </c>
      <c r="AM127" s="477">
        <f>IF($AE127="SF",IF($AG127="X",'Base Information Sheet'!$B$23*'Physical Condition Assessment'!$E127*'Physical Condition Assessment'!$AK127,"-"))</f>
        <v>0</v>
      </c>
      <c r="AN127" s="477" t="b">
        <f>IF($AE127="Unit",IF($AF127="X",'Physical Condition Assessment'!$E127*'Physical Condition Assessment'!$AJ127,"-"))</f>
        <v>0</v>
      </c>
      <c r="AO127" s="477" t="b">
        <f>IF($AE127="Unit",IF($AG127="X",'Physical Condition Assessment'!$E127*'Physical Condition Assessment'!$AK127,"-"))</f>
        <v>0</v>
      </c>
      <c r="AP127" s="477">
        <f t="shared" si="2"/>
        <v>0</v>
      </c>
      <c r="AQ127" s="478" t="e">
        <f t="shared" si="3"/>
        <v>#DIV/0!</v>
      </c>
      <c r="AR127" s="735"/>
      <c r="AS127" s="735">
        <v>12</v>
      </c>
      <c r="AT127" s="737">
        <f ca="1">IF($AR127&gt;0,$C$5-$AR127,$C$5-'Base Information Sheet'!$B$15)</f>
        <v>2026</v>
      </c>
      <c r="AU127" s="737">
        <f>IF($AR127&gt;0,$AR127+$AS127,'Base Information Sheet'!$B$15+'Physical Condition Assessment'!$AS127)</f>
        <v>12</v>
      </c>
      <c r="AV127" s="738">
        <f ca="1">IF($N127="x",0,IF($AU127&lt;=$C$5,'Physical Condition Assessment'!$AP127,0))</f>
        <v>0</v>
      </c>
      <c r="AW127" s="738">
        <f ca="1">IF(AV127&gt;0,0,IF($N127="x",0,IF(($AU127-6)&lt;$C$5,'Physical Condition Assessment'!$AP127,0)))</f>
        <v>0</v>
      </c>
      <c r="AX127" s="738">
        <f ca="1">IF(SUM(AV127:AW127)&gt;0,0,IF($N127="x",0,IF(($AU127-11)&lt;$C$5,'Physical Condition Assessment'!$AP127,0)))</f>
        <v>0</v>
      </c>
      <c r="AY127" s="738">
        <f ca="1">IF(SUM(AV127:AX127)&gt;0,0,IF($N127="x",0,IF(($AU127-16)&lt;$C$5,'Physical Condition Assessment'!$AP127,0)))</f>
        <v>0</v>
      </c>
    </row>
    <row r="128" spans="1:51" ht="16" thickBot="1" x14ac:dyDescent="0.25">
      <c r="A128" s="755" t="s">
        <v>229</v>
      </c>
      <c r="B128" s="756" t="s">
        <v>299</v>
      </c>
      <c r="C128" s="502" t="s">
        <v>305</v>
      </c>
      <c r="D128" s="502" t="s">
        <v>308</v>
      </c>
      <c r="E128" s="728"/>
      <c r="F128" s="729"/>
      <c r="G128" s="537" t="s">
        <v>41</v>
      </c>
      <c r="H128" s="732"/>
      <c r="I128" s="537" t="s">
        <v>42</v>
      </c>
      <c r="J128" s="732"/>
      <c r="K128" s="537" t="s">
        <v>43</v>
      </c>
      <c r="L128" s="732"/>
      <c r="M128" s="537" t="s">
        <v>44</v>
      </c>
      <c r="N128" s="732"/>
      <c r="O128" s="537" t="s">
        <v>52</v>
      </c>
      <c r="P128" s="2"/>
      <c r="Q128" s="3" t="s">
        <v>52</v>
      </c>
      <c r="R128" s="783"/>
      <c r="S128" s="784">
        <f>'Base Information Sheet'!$B$23*'Physical Condition Assessment'!E128*'PCA Cost Tables - READ ONLY'!P128*'Physical Condition Assessment'!R128*'Base Information Sheet'!$B$38*'Base Information Sheet'!$B$37</f>
        <v>0</v>
      </c>
      <c r="T128" s="786"/>
      <c r="U128" t="s">
        <v>309</v>
      </c>
      <c r="V128" s="502" t="s">
        <v>302</v>
      </c>
      <c r="AE128" s="475" t="s">
        <v>71</v>
      </c>
      <c r="AF128" s="475"/>
      <c r="AG128" s="475" t="s">
        <v>72</v>
      </c>
      <c r="AH128" s="476">
        <f>_xlfn.XLOOKUP($U128,'PCA Cost Tables - READ ONLY'!$E$10:$E$172,'PCA Cost Tables - READ ONLY'!$F$10:$F$172,"BLANK",0)</f>
        <v>0.15543999999999999</v>
      </c>
      <c r="AI128" s="476">
        <f>_xlfn.XLOOKUP($U128,'PCA Cost Tables - READ ONLY'!$E$10:$E$172,'PCA Cost Tables - READ ONLY'!$H$10:$H$172,"BLANK",0)</f>
        <v>0.43523200000000006</v>
      </c>
      <c r="AJ128" s="476">
        <f>_xlfn.XLOOKUP($U128,'PCA Cost Tables - READ ONLY'!$E$10:$E$172,'PCA Cost Tables - READ ONLY'!$J$10:$J$172,"BLANK",0)</f>
        <v>1.5544</v>
      </c>
      <c r="AK128" s="476">
        <f>_xlfn.XLOOKUP($U128,'PCA Cost Tables - READ ONLY'!$E$10:$E$172,'PCA Cost Tables - READ ONLY'!$L$10:$L$172,"BLANK",0)</f>
        <v>3.1088</v>
      </c>
      <c r="AL128" s="477" t="str">
        <f>IF($AE128="SF",IF($AF128="X",'Base Information Sheet'!$B$23*'Physical Condition Assessment'!$E128*'Physical Condition Assessment'!$AJ128,"-"))</f>
        <v>-</v>
      </c>
      <c r="AM128" s="477">
        <f>IF($AE128="SF",IF($AG128="X",'Base Information Sheet'!$B$23*'Physical Condition Assessment'!$E128*'Physical Condition Assessment'!$AK128,"-"))</f>
        <v>0</v>
      </c>
      <c r="AN128" s="477" t="b">
        <f>IF($AE128="Unit",IF($AF128="X",'Physical Condition Assessment'!$E128*'Physical Condition Assessment'!$AJ128,"-"))</f>
        <v>0</v>
      </c>
      <c r="AO128" s="477" t="b">
        <f>IF($AE128="Unit",IF($AG128="X",'Physical Condition Assessment'!$E128*'Physical Condition Assessment'!$AK128,"-"))</f>
        <v>0</v>
      </c>
      <c r="AP128" s="477">
        <f t="shared" si="2"/>
        <v>0</v>
      </c>
      <c r="AQ128" s="478" t="e">
        <f t="shared" si="3"/>
        <v>#DIV/0!</v>
      </c>
      <c r="AR128" s="735"/>
      <c r="AS128" s="735">
        <v>12</v>
      </c>
      <c r="AT128" s="737">
        <f ca="1">IF($AR128&gt;0,$C$5-$AR128,$C$5-'Base Information Sheet'!$B$15)</f>
        <v>2026</v>
      </c>
      <c r="AU128" s="737">
        <f>IF($AR128&gt;0,$AR128+$AS128,'Base Information Sheet'!$B$15+'Physical Condition Assessment'!$AS128)</f>
        <v>12</v>
      </c>
      <c r="AV128" s="738">
        <f ca="1">IF($N128="x",0,IF($AU128&lt;=$C$5,'Physical Condition Assessment'!$AP128,0))</f>
        <v>0</v>
      </c>
      <c r="AW128" s="738">
        <f ca="1">IF(AV128&gt;0,0,IF($N128="x",0,IF(($AU128-6)&lt;$C$5,'Physical Condition Assessment'!$AP128,0)))</f>
        <v>0</v>
      </c>
      <c r="AX128" s="738">
        <f ca="1">IF(SUM(AV128:AW128)&gt;0,0,IF($N128="x",0,IF(($AU128-11)&lt;$C$5,'Physical Condition Assessment'!$AP128,0)))</f>
        <v>0</v>
      </c>
      <c r="AY128" s="738">
        <f ca="1">IF(SUM(AV128:AX128)&gt;0,0,IF($N128="x",0,IF(($AU128-16)&lt;$C$5,'Physical Condition Assessment'!$AP128,0)))</f>
        <v>0</v>
      </c>
    </row>
    <row r="129" spans="1:51" ht="16" thickBot="1" x14ac:dyDescent="0.25">
      <c r="A129" s="755" t="s">
        <v>229</v>
      </c>
      <c r="B129" s="756" t="s">
        <v>299</v>
      </c>
      <c r="C129" s="502" t="s">
        <v>305</v>
      </c>
      <c r="D129" s="502" t="s">
        <v>310</v>
      </c>
      <c r="E129" s="728"/>
      <c r="F129" s="729"/>
      <c r="G129" s="537" t="s">
        <v>41</v>
      </c>
      <c r="H129" s="732"/>
      <c r="I129" s="537" t="s">
        <v>42</v>
      </c>
      <c r="J129" s="732"/>
      <c r="K129" s="537" t="s">
        <v>43</v>
      </c>
      <c r="L129" s="732"/>
      <c r="M129" s="537" t="s">
        <v>44</v>
      </c>
      <c r="N129" s="732"/>
      <c r="O129" s="537" t="s">
        <v>52</v>
      </c>
      <c r="P129" s="2"/>
      <c r="Q129" s="3" t="s">
        <v>52</v>
      </c>
      <c r="R129" s="783"/>
      <c r="S129" s="784">
        <f>'Base Information Sheet'!$B$23*'Physical Condition Assessment'!E129*'PCA Cost Tables - READ ONLY'!P129*'Physical Condition Assessment'!R129*'Base Information Sheet'!$B$38*'Base Information Sheet'!$B$37</f>
        <v>0</v>
      </c>
      <c r="T129" s="786"/>
      <c r="U129" t="s">
        <v>311</v>
      </c>
      <c r="V129" s="502" t="s">
        <v>302</v>
      </c>
      <c r="AE129" s="475" t="s">
        <v>71</v>
      </c>
      <c r="AF129" s="475"/>
      <c r="AG129" s="475" t="s">
        <v>72</v>
      </c>
      <c r="AH129" s="476">
        <f>_xlfn.XLOOKUP($U129,'PCA Cost Tables - READ ONLY'!$E$10:$E$172,'PCA Cost Tables - READ ONLY'!$F$10:$F$172,"BLANK",0)</f>
        <v>0.15543999999999999</v>
      </c>
      <c r="AI129" s="476">
        <f>_xlfn.XLOOKUP($U129,'PCA Cost Tables - READ ONLY'!$E$10:$E$172,'PCA Cost Tables - READ ONLY'!$H$10:$H$172,"BLANK",0)</f>
        <v>0.52849600000000008</v>
      </c>
      <c r="AJ129" s="476">
        <f>_xlfn.XLOOKUP($U129,'PCA Cost Tables - READ ONLY'!$E$10:$E$172,'PCA Cost Tables - READ ONLY'!$J$10:$J$172,"BLANK",0)</f>
        <v>1.9119119999999998</v>
      </c>
      <c r="AK129" s="476">
        <f>_xlfn.XLOOKUP($U129,'PCA Cost Tables - READ ONLY'!$E$10:$E$172,'PCA Cost Tables - READ ONLY'!$L$10:$L$172,"BLANK",0)</f>
        <v>3.4663119999999998</v>
      </c>
      <c r="AL129" s="477" t="str">
        <f>IF($AE129="SF",IF($AF129="X",'Base Information Sheet'!$B$23*'Physical Condition Assessment'!$E129*'Physical Condition Assessment'!$AJ129,"-"))</f>
        <v>-</v>
      </c>
      <c r="AM129" s="477">
        <f>IF($AE129="SF",IF($AG129="X",'Base Information Sheet'!$B$23*'Physical Condition Assessment'!$E129*'Physical Condition Assessment'!$AK129,"-"))</f>
        <v>0</v>
      </c>
      <c r="AN129" s="477" t="b">
        <f>IF($AE129="Unit",IF($AF129="X",'Physical Condition Assessment'!$E129*'Physical Condition Assessment'!$AJ129,"-"))</f>
        <v>0</v>
      </c>
      <c r="AO129" s="477" t="b">
        <f>IF($AE129="Unit",IF($AG129="X",'Physical Condition Assessment'!$E129*'Physical Condition Assessment'!$AK129,"-"))</f>
        <v>0</v>
      </c>
      <c r="AP129" s="477">
        <f t="shared" si="2"/>
        <v>0</v>
      </c>
      <c r="AQ129" s="478" t="e">
        <f t="shared" si="3"/>
        <v>#DIV/0!</v>
      </c>
      <c r="AR129" s="735"/>
      <c r="AS129" s="735">
        <v>12</v>
      </c>
      <c r="AT129" s="737">
        <f ca="1">IF($AR129&gt;0,$C$5-$AR129,$C$5-'Base Information Sheet'!$B$15)</f>
        <v>2026</v>
      </c>
      <c r="AU129" s="737">
        <f>IF($AR129&gt;0,$AR129+$AS129,'Base Information Sheet'!$B$15+'Physical Condition Assessment'!$AS129)</f>
        <v>12</v>
      </c>
      <c r="AV129" s="738">
        <f ca="1">IF($N129="x",0,IF($AU129&lt;=$C$5,'Physical Condition Assessment'!$AP129,0))</f>
        <v>0</v>
      </c>
      <c r="AW129" s="738">
        <f ca="1">IF(AV129&gt;0,0,IF($N129="x",0,IF(($AU129-6)&lt;$C$5,'Physical Condition Assessment'!$AP129,0)))</f>
        <v>0</v>
      </c>
      <c r="AX129" s="738">
        <f ca="1">IF(SUM(AV129:AW129)&gt;0,0,IF($N129="x",0,IF(($AU129-11)&lt;$C$5,'Physical Condition Assessment'!$AP129,0)))</f>
        <v>0</v>
      </c>
      <c r="AY129" s="738">
        <f ca="1">IF(SUM(AV129:AX129)&gt;0,0,IF($N129="x",0,IF(($AU129-16)&lt;$C$5,'Physical Condition Assessment'!$AP129,0)))</f>
        <v>0</v>
      </c>
    </row>
    <row r="130" spans="1:51" ht="16" thickBot="1" x14ac:dyDescent="0.25">
      <c r="A130" s="755" t="s">
        <v>229</v>
      </c>
      <c r="B130" s="756" t="s">
        <v>299</v>
      </c>
      <c r="C130" s="502" t="s">
        <v>305</v>
      </c>
      <c r="D130" s="502" t="s">
        <v>312</v>
      </c>
      <c r="E130" s="728"/>
      <c r="F130" s="729"/>
      <c r="G130" s="537" t="s">
        <v>41</v>
      </c>
      <c r="H130" s="732"/>
      <c r="I130" s="537" t="s">
        <v>42</v>
      </c>
      <c r="J130" s="732"/>
      <c r="K130" s="537" t="s">
        <v>43</v>
      </c>
      <c r="L130" s="732"/>
      <c r="M130" s="537" t="s">
        <v>44</v>
      </c>
      <c r="N130" s="732"/>
      <c r="O130" s="537" t="s">
        <v>52</v>
      </c>
      <c r="P130" s="2"/>
      <c r="Q130" s="3" t="s">
        <v>52</v>
      </c>
      <c r="R130" s="783"/>
      <c r="S130" s="784">
        <f>'Base Information Sheet'!$B$23*'Physical Condition Assessment'!E130*'PCA Cost Tables - READ ONLY'!P130*'Physical Condition Assessment'!R130*'Base Information Sheet'!$B$38*'Base Information Sheet'!$B$37</f>
        <v>0</v>
      </c>
      <c r="T130" s="786"/>
      <c r="U130" t="s">
        <v>313</v>
      </c>
      <c r="V130" s="502" t="s">
        <v>302</v>
      </c>
      <c r="AE130" s="475" t="s">
        <v>71</v>
      </c>
      <c r="AF130" s="475"/>
      <c r="AG130" s="475" t="s">
        <v>72</v>
      </c>
      <c r="AH130" s="476">
        <f>_xlfn.XLOOKUP($U130,'PCA Cost Tables - READ ONLY'!$E$10:$E$172,'PCA Cost Tables - READ ONLY'!$F$10:$F$172,"BLANK",0)</f>
        <v>0.10880800000000002</v>
      </c>
      <c r="AI130" s="476">
        <f>_xlfn.XLOOKUP($U130,'PCA Cost Tables - READ ONLY'!$E$10:$E$172,'PCA Cost Tables - READ ONLY'!$H$10:$H$172,"BLANK",0)</f>
        <v>0.3886</v>
      </c>
      <c r="AJ130" s="476">
        <f>_xlfn.XLOOKUP($U130,'PCA Cost Tables - READ ONLY'!$E$10:$E$172,'PCA Cost Tables - READ ONLY'!$J$10:$J$172,"BLANK",0)</f>
        <v>1.5544</v>
      </c>
      <c r="AK130" s="476">
        <f>_xlfn.XLOOKUP($U130,'PCA Cost Tables - READ ONLY'!$E$10:$E$172,'PCA Cost Tables - READ ONLY'!$L$10:$L$172,"BLANK",0)</f>
        <v>3.1088</v>
      </c>
      <c r="AL130" s="477" t="str">
        <f>IF($AE130="SF",IF($AF130="X",'Base Information Sheet'!$B$23*'Physical Condition Assessment'!$E130*'Physical Condition Assessment'!$AJ130,"-"))</f>
        <v>-</v>
      </c>
      <c r="AM130" s="477">
        <f>IF($AE130="SF",IF($AG130="X",'Base Information Sheet'!$B$23*'Physical Condition Assessment'!$E130*'Physical Condition Assessment'!$AK130,"-"))</f>
        <v>0</v>
      </c>
      <c r="AN130" s="477" t="b">
        <f>IF($AE130="Unit",IF($AF130="X",'Physical Condition Assessment'!$E130*'Physical Condition Assessment'!$AJ130,"-"))</f>
        <v>0</v>
      </c>
      <c r="AO130" s="477" t="b">
        <f>IF($AE130="Unit",IF($AG130="X",'Physical Condition Assessment'!$E130*'Physical Condition Assessment'!$AK130,"-"))</f>
        <v>0</v>
      </c>
      <c r="AP130" s="477">
        <f t="shared" si="2"/>
        <v>0</v>
      </c>
      <c r="AQ130" s="478" t="e">
        <f t="shared" si="3"/>
        <v>#DIV/0!</v>
      </c>
      <c r="AR130" s="735"/>
      <c r="AS130" s="735">
        <v>12</v>
      </c>
      <c r="AT130" s="737">
        <f ca="1">IF($AR130&gt;0,$C$5-$AR130,$C$5-'Base Information Sheet'!$B$15)</f>
        <v>2026</v>
      </c>
      <c r="AU130" s="737">
        <f>IF($AR130&gt;0,$AR130+$AS130,'Base Information Sheet'!$B$15+'Physical Condition Assessment'!$AS130)</f>
        <v>12</v>
      </c>
      <c r="AV130" s="738">
        <f ca="1">IF($N130="x",0,IF($AU130&lt;=$C$5,'Physical Condition Assessment'!$AP130,0))</f>
        <v>0</v>
      </c>
      <c r="AW130" s="738">
        <f ca="1">IF(AV130&gt;0,0,IF($N130="x",0,IF(($AU130-6)&lt;$C$5,'Physical Condition Assessment'!$AP130,0)))</f>
        <v>0</v>
      </c>
      <c r="AX130" s="738">
        <f ca="1">IF(SUM(AV130:AW130)&gt;0,0,IF($N130="x",0,IF(($AU130-11)&lt;$C$5,'Physical Condition Assessment'!$AP130,0)))</f>
        <v>0</v>
      </c>
      <c r="AY130" s="738">
        <f ca="1">IF(SUM(AV130:AX130)&gt;0,0,IF($N130="x",0,IF(($AU130-16)&lt;$C$5,'Physical Condition Assessment'!$AP130,0)))</f>
        <v>0</v>
      </c>
    </row>
    <row r="131" spans="1:51" ht="16" thickBot="1" x14ac:dyDescent="0.25">
      <c r="A131" s="755" t="s">
        <v>229</v>
      </c>
      <c r="B131" s="756" t="s">
        <v>299</v>
      </c>
      <c r="C131" s="502" t="s">
        <v>305</v>
      </c>
      <c r="D131" s="502" t="s">
        <v>314</v>
      </c>
      <c r="E131" s="728"/>
      <c r="F131" s="729"/>
      <c r="G131" s="537" t="s">
        <v>41</v>
      </c>
      <c r="H131" s="732"/>
      <c r="I131" s="537" t="s">
        <v>42</v>
      </c>
      <c r="J131" s="732"/>
      <c r="K131" s="537" t="s">
        <v>43</v>
      </c>
      <c r="L131" s="732"/>
      <c r="M131" s="537" t="s">
        <v>44</v>
      </c>
      <c r="N131" s="732"/>
      <c r="O131" s="537" t="s">
        <v>52</v>
      </c>
      <c r="P131" s="2"/>
      <c r="Q131" s="3" t="s">
        <v>52</v>
      </c>
      <c r="R131" s="783"/>
      <c r="S131" s="784">
        <f>'Base Information Sheet'!$B$23*'Physical Condition Assessment'!E131*'PCA Cost Tables - READ ONLY'!P131*'Physical Condition Assessment'!R131*'Base Information Sheet'!$B$38*'Base Information Sheet'!$B$37</f>
        <v>0</v>
      </c>
      <c r="T131" s="786"/>
      <c r="U131" t="s">
        <v>315</v>
      </c>
      <c r="V131" s="502" t="s">
        <v>302</v>
      </c>
      <c r="AE131" s="475" t="s">
        <v>71</v>
      </c>
      <c r="AF131" s="475"/>
      <c r="AG131" s="475" t="s">
        <v>72</v>
      </c>
      <c r="AH131" s="476">
        <f>_xlfn.XLOOKUP($U131,'PCA Cost Tables - READ ONLY'!$E$10:$E$172,'PCA Cost Tables - READ ONLY'!$F$10:$F$172,"BLANK",0)</f>
        <v>0.10880800000000002</v>
      </c>
      <c r="AI131" s="476">
        <f>_xlfn.XLOOKUP($U131,'PCA Cost Tables - READ ONLY'!$E$10:$E$172,'PCA Cost Tables - READ ONLY'!$H$10:$H$172,"BLANK",0)</f>
        <v>0.24870400000000001</v>
      </c>
      <c r="AJ131" s="476">
        <f>_xlfn.XLOOKUP($U131,'PCA Cost Tables - READ ONLY'!$E$10:$E$172,'PCA Cost Tables - READ ONLY'!$J$10:$J$172,"BLANK",0)</f>
        <v>1.1347119999999999</v>
      </c>
      <c r="AK131" s="476">
        <f>_xlfn.XLOOKUP($U131,'PCA Cost Tables - READ ONLY'!$E$10:$E$172,'PCA Cost Tables - READ ONLY'!$L$10:$L$172,"BLANK",0)</f>
        <v>2.3315999999999999</v>
      </c>
      <c r="AL131" s="477" t="str">
        <f>IF($AE131="SF",IF($AF131="X",'Base Information Sheet'!$B$23*'Physical Condition Assessment'!$E131*'Physical Condition Assessment'!$AJ131,"-"))</f>
        <v>-</v>
      </c>
      <c r="AM131" s="477">
        <f>IF($AE131="SF",IF($AG131="X",'Base Information Sheet'!$B$23*'Physical Condition Assessment'!$E131*'Physical Condition Assessment'!$AK131,"-"))</f>
        <v>0</v>
      </c>
      <c r="AN131" s="477" t="b">
        <f>IF($AE131="Unit",IF($AF131="X",'Physical Condition Assessment'!$E131*'Physical Condition Assessment'!$AJ131,"-"))</f>
        <v>0</v>
      </c>
      <c r="AO131" s="477" t="b">
        <f>IF($AE131="Unit",IF($AG131="X",'Physical Condition Assessment'!$E131*'Physical Condition Assessment'!$AK131,"-"))</f>
        <v>0</v>
      </c>
      <c r="AP131" s="477">
        <f t="shared" si="2"/>
        <v>0</v>
      </c>
      <c r="AQ131" s="478" t="e">
        <f t="shared" si="3"/>
        <v>#DIV/0!</v>
      </c>
      <c r="AR131" s="735"/>
      <c r="AS131" s="735">
        <v>12</v>
      </c>
      <c r="AT131" s="737">
        <f ca="1">IF($AR131&gt;0,$C$5-$AR131,$C$5-'Base Information Sheet'!$B$15)</f>
        <v>2026</v>
      </c>
      <c r="AU131" s="737">
        <f>IF($AR131&gt;0,$AR131+$AS131,'Base Information Sheet'!$B$15+'Physical Condition Assessment'!$AS131)</f>
        <v>12</v>
      </c>
      <c r="AV131" s="738">
        <f ca="1">IF($N131="x",0,IF($AU131&lt;=$C$5,'Physical Condition Assessment'!$AP131,0))</f>
        <v>0</v>
      </c>
      <c r="AW131" s="738">
        <f ca="1">IF(AV131&gt;0,0,IF($N131="x",0,IF(($AU131-6)&lt;$C$5,'Physical Condition Assessment'!$AP131,0)))</f>
        <v>0</v>
      </c>
      <c r="AX131" s="738">
        <f ca="1">IF(SUM(AV131:AW131)&gt;0,0,IF($N131="x",0,IF(($AU131-11)&lt;$C$5,'Physical Condition Assessment'!$AP131,0)))</f>
        <v>0</v>
      </c>
      <c r="AY131" s="738">
        <f ca="1">IF(SUM(AV131:AX131)&gt;0,0,IF($N131="x",0,IF(($AU131-16)&lt;$C$5,'Physical Condition Assessment'!$AP131,0)))</f>
        <v>0</v>
      </c>
    </row>
    <row r="132" spans="1:51" ht="16" thickBot="1" x14ac:dyDescent="0.25">
      <c r="A132" s="755" t="s">
        <v>229</v>
      </c>
      <c r="B132" s="756" t="s">
        <v>299</v>
      </c>
      <c r="C132" s="502" t="s">
        <v>305</v>
      </c>
      <c r="D132" s="502" t="s">
        <v>316</v>
      </c>
      <c r="E132" s="728"/>
      <c r="F132" s="729"/>
      <c r="G132" s="537" t="s">
        <v>41</v>
      </c>
      <c r="H132" s="732"/>
      <c r="I132" s="537" t="s">
        <v>42</v>
      </c>
      <c r="J132" s="732"/>
      <c r="K132" s="537" t="s">
        <v>43</v>
      </c>
      <c r="L132" s="732"/>
      <c r="M132" s="537" t="s">
        <v>44</v>
      </c>
      <c r="N132" s="732"/>
      <c r="O132" s="537" t="s">
        <v>52</v>
      </c>
      <c r="P132" s="2"/>
      <c r="Q132" s="3" t="s">
        <v>52</v>
      </c>
      <c r="R132" s="783"/>
      <c r="S132" s="784">
        <f>'Base Information Sheet'!$B$23*'Physical Condition Assessment'!E132*'PCA Cost Tables - READ ONLY'!P132*'Physical Condition Assessment'!R132*'Base Information Sheet'!$B$38*'Base Information Sheet'!$B$37</f>
        <v>0</v>
      </c>
      <c r="T132" s="786"/>
      <c r="U132" t="s">
        <v>317</v>
      </c>
      <c r="V132" s="502" t="s">
        <v>293</v>
      </c>
      <c r="AE132" s="475" t="s">
        <v>71</v>
      </c>
      <c r="AF132" s="475"/>
      <c r="AG132" s="475" t="s">
        <v>72</v>
      </c>
      <c r="AH132" s="476">
        <f>_xlfn.XLOOKUP($U132,'PCA Cost Tables - READ ONLY'!$E$10:$E$172,'PCA Cost Tables - READ ONLY'!$F$10:$F$172,"BLANK",0)</f>
        <v>0.34196799999999999</v>
      </c>
      <c r="AI132" s="476">
        <f>_xlfn.XLOOKUP($U132,'PCA Cost Tables - READ ONLY'!$E$10:$E$172,'PCA Cost Tables - READ ONLY'!$H$10:$H$172,"BLANK",0)</f>
        <v>0.73056799999999988</v>
      </c>
      <c r="AJ132" s="476">
        <f>_xlfn.XLOOKUP($U132,'PCA Cost Tables - READ ONLY'!$E$10:$E$172,'PCA Cost Tables - READ ONLY'!$J$10:$J$172,"BLANK",0)</f>
        <v>3.3108719999999998</v>
      </c>
      <c r="AK132" s="476">
        <f>_xlfn.XLOOKUP($U132,'PCA Cost Tables - READ ONLY'!$E$10:$E$172,'PCA Cost Tables - READ ONLY'!$L$10:$L$172,"BLANK",0)</f>
        <v>6.6062000000000003</v>
      </c>
      <c r="AL132" s="477" t="str">
        <f>IF($AE132="SF",IF($AF132="X",'Base Information Sheet'!$B$23*'Physical Condition Assessment'!$E132*'Physical Condition Assessment'!$AJ132,"-"))</f>
        <v>-</v>
      </c>
      <c r="AM132" s="477">
        <f>IF($AE132="SF",IF($AG132="X",'Base Information Sheet'!$B$23*'Physical Condition Assessment'!$E132*'Physical Condition Assessment'!$AK132,"-"))</f>
        <v>0</v>
      </c>
      <c r="AN132" s="477" t="b">
        <f>IF($AE132="Unit",IF($AF132="X",'Physical Condition Assessment'!$E132*'Physical Condition Assessment'!$AJ132,"-"))</f>
        <v>0</v>
      </c>
      <c r="AO132" s="477" t="b">
        <f>IF($AE132="Unit",IF($AG132="X",'Physical Condition Assessment'!$E132*'Physical Condition Assessment'!$AK132,"-"))</f>
        <v>0</v>
      </c>
      <c r="AP132" s="477">
        <f t="shared" si="2"/>
        <v>0</v>
      </c>
      <c r="AQ132" s="478" t="e">
        <f t="shared" si="3"/>
        <v>#DIV/0!</v>
      </c>
      <c r="AR132" s="735"/>
      <c r="AS132" s="735">
        <v>12</v>
      </c>
      <c r="AT132" s="737">
        <f ca="1">IF($AR132&gt;0,$C$5-$AR132,$C$5-'Base Information Sheet'!$B$15)</f>
        <v>2026</v>
      </c>
      <c r="AU132" s="737">
        <f>IF($AR132&gt;0,$AR132+$AS132,'Base Information Sheet'!$B$15+'Physical Condition Assessment'!$AS132)</f>
        <v>12</v>
      </c>
      <c r="AV132" s="738">
        <f ca="1">IF($N132="x",0,IF($AU132&lt;=$C$5,'Physical Condition Assessment'!$AP132,0))</f>
        <v>0</v>
      </c>
      <c r="AW132" s="738">
        <f ca="1">IF(AV132&gt;0,0,IF($N132="x",0,IF(($AU132-6)&lt;$C$5,'Physical Condition Assessment'!$AP132,0)))</f>
        <v>0</v>
      </c>
      <c r="AX132" s="738">
        <f ca="1">IF(SUM(AV132:AW132)&gt;0,0,IF($N132="x",0,IF(($AU132-11)&lt;$C$5,'Physical Condition Assessment'!$AP132,0)))</f>
        <v>0</v>
      </c>
      <c r="AY132" s="738">
        <f ca="1">IF(SUM(AV132:AX132)&gt;0,0,IF($N132="x",0,IF(($AU132-16)&lt;$C$5,'Physical Condition Assessment'!$AP132,0)))</f>
        <v>0</v>
      </c>
    </row>
    <row r="133" spans="1:51" ht="16" thickBot="1" x14ac:dyDescent="0.25">
      <c r="A133" s="755" t="s">
        <v>229</v>
      </c>
      <c r="B133" s="756" t="s">
        <v>299</v>
      </c>
      <c r="C133" s="502" t="s">
        <v>305</v>
      </c>
      <c r="D133" s="502" t="s">
        <v>318</v>
      </c>
      <c r="E133" s="728"/>
      <c r="F133" s="729"/>
      <c r="G133" s="537" t="s">
        <v>41</v>
      </c>
      <c r="H133" s="732"/>
      <c r="I133" s="537" t="s">
        <v>42</v>
      </c>
      <c r="J133" s="732"/>
      <c r="K133" s="537" t="s">
        <v>43</v>
      </c>
      <c r="L133" s="732"/>
      <c r="M133" s="537" t="s">
        <v>44</v>
      </c>
      <c r="N133" s="732"/>
      <c r="O133" s="537" t="s">
        <v>52</v>
      </c>
      <c r="P133" s="2"/>
      <c r="Q133" s="3" t="s">
        <v>52</v>
      </c>
      <c r="R133" s="783"/>
      <c r="S133" s="784">
        <f>'Base Information Sheet'!$B$23*'Physical Condition Assessment'!E133*'PCA Cost Tables - READ ONLY'!P133*'Physical Condition Assessment'!R133*'Base Information Sheet'!$B$38*'Base Information Sheet'!$B$37</f>
        <v>0</v>
      </c>
      <c r="T133" s="786"/>
      <c r="U133" t="s">
        <v>319</v>
      </c>
      <c r="V133" s="502" t="s">
        <v>302</v>
      </c>
      <c r="AE133" s="475" t="s">
        <v>71</v>
      </c>
      <c r="AF133" s="475"/>
      <c r="AG133" s="475" t="s">
        <v>72</v>
      </c>
      <c r="AH133" s="476">
        <f>_xlfn.XLOOKUP($U133,'PCA Cost Tables - READ ONLY'!$E$10:$E$172,'PCA Cost Tables - READ ONLY'!$F$10:$F$172,"BLANK",0)</f>
        <v>0.170984</v>
      </c>
      <c r="AI133" s="476">
        <f>_xlfn.XLOOKUP($U133,'PCA Cost Tables - READ ONLY'!$E$10:$E$172,'PCA Cost Tables - READ ONLY'!$H$10:$H$172,"BLANK",0)</f>
        <v>0.3886</v>
      </c>
      <c r="AJ133" s="476">
        <f>_xlfn.XLOOKUP($U133,'PCA Cost Tables - READ ONLY'!$E$10:$E$172,'PCA Cost Tables - READ ONLY'!$J$10:$J$172,"BLANK",0)</f>
        <v>1.305696</v>
      </c>
      <c r="AK133" s="476">
        <f>_xlfn.XLOOKUP($U133,'PCA Cost Tables - READ ONLY'!$E$10:$E$172,'PCA Cost Tables - READ ONLY'!$L$10:$L$172,"BLANK",0)</f>
        <v>2.4870399999999999</v>
      </c>
      <c r="AL133" s="477" t="str">
        <f>IF($AE133="SF",IF($AF133="X",'Base Information Sheet'!$B$23*'Physical Condition Assessment'!$E133*'Physical Condition Assessment'!$AJ133,"-"))</f>
        <v>-</v>
      </c>
      <c r="AM133" s="477">
        <f>IF($AE133="SF",IF($AG133="X",'Base Information Sheet'!$B$23*'Physical Condition Assessment'!$E133*'Physical Condition Assessment'!$AK133,"-"))</f>
        <v>0</v>
      </c>
      <c r="AN133" s="477" t="b">
        <f>IF($AE133="Unit",IF($AF133="X",'Physical Condition Assessment'!$E133*'Physical Condition Assessment'!$AJ133,"-"))</f>
        <v>0</v>
      </c>
      <c r="AO133" s="477" t="b">
        <f>IF($AE133="Unit",IF($AG133="X",'Physical Condition Assessment'!$E133*'Physical Condition Assessment'!$AK133,"-"))</f>
        <v>0</v>
      </c>
      <c r="AP133" s="477">
        <f t="shared" si="2"/>
        <v>0</v>
      </c>
      <c r="AQ133" s="478" t="e">
        <f t="shared" si="3"/>
        <v>#DIV/0!</v>
      </c>
      <c r="AR133" s="735"/>
      <c r="AS133" s="735">
        <v>12</v>
      </c>
      <c r="AT133" s="737">
        <f ca="1">IF($AR133&gt;0,$C$5-$AR133,$C$5-'Base Information Sheet'!$B$15)</f>
        <v>2026</v>
      </c>
      <c r="AU133" s="737">
        <f>IF($AR133&gt;0,$AR133+$AS133,'Base Information Sheet'!$B$15+'Physical Condition Assessment'!$AS133)</f>
        <v>12</v>
      </c>
      <c r="AV133" s="738">
        <f ca="1">IF($N133="x",0,IF($AU133&lt;=$C$5,'Physical Condition Assessment'!$AP133,0))</f>
        <v>0</v>
      </c>
      <c r="AW133" s="738">
        <f ca="1">IF(AV133&gt;0,0,IF($N133="x",0,IF(($AU133-6)&lt;$C$5,'Physical Condition Assessment'!$AP133,0)))</f>
        <v>0</v>
      </c>
      <c r="AX133" s="738">
        <f ca="1">IF(SUM(AV133:AW133)&gt;0,0,IF($N133="x",0,IF(($AU133-11)&lt;$C$5,'Physical Condition Assessment'!$AP133,0)))</f>
        <v>0</v>
      </c>
      <c r="AY133" s="738">
        <f ca="1">IF(SUM(AV133:AX133)&gt;0,0,IF($N133="x",0,IF(($AU133-16)&lt;$C$5,'Physical Condition Assessment'!$AP133,0)))</f>
        <v>0</v>
      </c>
    </row>
    <row r="134" spans="1:51" ht="16" thickBot="1" x14ac:dyDescent="0.25">
      <c r="A134" s="755" t="s">
        <v>229</v>
      </c>
      <c r="B134" s="756" t="s">
        <v>299</v>
      </c>
      <c r="C134" s="502" t="s">
        <v>320</v>
      </c>
      <c r="D134" s="502" t="s">
        <v>78</v>
      </c>
      <c r="E134" s="463"/>
      <c r="F134" s="464"/>
      <c r="G134" s="537" t="s">
        <v>41</v>
      </c>
      <c r="H134" s="5"/>
      <c r="I134" s="537" t="s">
        <v>42</v>
      </c>
      <c r="J134" s="5"/>
      <c r="K134" s="537" t="s">
        <v>43</v>
      </c>
      <c r="L134" s="5"/>
      <c r="M134" s="537" t="s">
        <v>44</v>
      </c>
      <c r="N134" s="5"/>
      <c r="O134" s="537" t="s">
        <v>52</v>
      </c>
      <c r="P134" s="5"/>
      <c r="Q134" s="3" t="s">
        <v>52</v>
      </c>
      <c r="R134" s="789"/>
      <c r="S134" s="797"/>
      <c r="T134" s="791"/>
      <c r="U134"/>
      <c r="AE134" s="475" t="s">
        <v>71</v>
      </c>
      <c r="AF134" s="475"/>
      <c r="AG134" s="475" t="s">
        <v>72</v>
      </c>
      <c r="AH134" s="476">
        <f>_xlfn.XLOOKUP($U134,'PCA Cost Tables - READ ONLY'!$E$10:$E$172,'PCA Cost Tables - READ ONLY'!$F$10:$F$172,"BLANK",0)</f>
        <v>0</v>
      </c>
      <c r="AI134" s="476">
        <f>_xlfn.XLOOKUP($U134,'PCA Cost Tables - READ ONLY'!$E$10:$E$172,'PCA Cost Tables - READ ONLY'!$H$10:$H$172,"BLANK",0)</f>
        <v>0</v>
      </c>
      <c r="AJ134" s="476">
        <f>_xlfn.XLOOKUP($U134,'PCA Cost Tables - READ ONLY'!$E$10:$E$172,'PCA Cost Tables - READ ONLY'!$J$10:$J$172,"BLANK",0)</f>
        <v>0</v>
      </c>
      <c r="AK134" s="476">
        <f>_xlfn.XLOOKUP($U134,'PCA Cost Tables - READ ONLY'!$E$10:$E$172,'PCA Cost Tables - READ ONLY'!$L$10:$L$172,"BLANK",0)</f>
        <v>0</v>
      </c>
      <c r="AL134" s="477" t="str">
        <f>IF($AE134="SF",IF($AF134="X",'Base Information Sheet'!$B$23*'Physical Condition Assessment'!$E134*'Physical Condition Assessment'!$AJ134,"-"))</f>
        <v>-</v>
      </c>
      <c r="AM134" s="477">
        <f>IF($AE134="SF",IF($AG134="X",'Base Information Sheet'!$B$23*'Physical Condition Assessment'!$E134*'Physical Condition Assessment'!$AK134,"-"))</f>
        <v>0</v>
      </c>
      <c r="AN134" s="477" t="b">
        <f>IF($AE134="Unit",IF($AF134="X",'Physical Condition Assessment'!$E134*'Physical Condition Assessment'!$AJ134,"-"))</f>
        <v>0</v>
      </c>
      <c r="AO134" s="477" t="b">
        <f>IF($AE134="Unit",IF($AG134="X",'Physical Condition Assessment'!$E134*'Physical Condition Assessment'!$AK134,"-"))</f>
        <v>0</v>
      </c>
      <c r="AP134" s="477">
        <f t="shared" si="2"/>
        <v>0</v>
      </c>
      <c r="AQ134" s="478" t="e">
        <f t="shared" si="3"/>
        <v>#DIV/0!</v>
      </c>
      <c r="AR134" s="735"/>
      <c r="AS134" s="735">
        <v>12</v>
      </c>
      <c r="AT134" s="737">
        <v>65</v>
      </c>
      <c r="AU134" s="737">
        <v>1970</v>
      </c>
      <c r="AV134" s="738">
        <f ca="1">IF($N134="x",0,IF($AU134&lt;=$C$5,'Physical Condition Assessment'!$AP134,0))</f>
        <v>0</v>
      </c>
      <c r="AW134" s="738">
        <f ca="1">IF(AV134&gt;0,0,IF($N134="x",0,IF(($AU134-6)&lt;$C$5,'Physical Condition Assessment'!$AP134,0)))</f>
        <v>0</v>
      </c>
      <c r="AX134" s="738">
        <f ca="1">IF(SUM(AV134:AW134)&gt;0,0,IF($N134="x",0,IF(($AU134-11)&lt;$C$5,'Physical Condition Assessment'!$AP134,0)))</f>
        <v>0</v>
      </c>
      <c r="AY134" s="738">
        <f ca="1">IF(SUM(AV134:AX134)&gt;0,0,IF($N134="x",0,IF(($AU134-16)&lt;$C$5,'Physical Condition Assessment'!$AP134,0)))</f>
        <v>0</v>
      </c>
    </row>
    <row r="135" spans="1:51" x14ac:dyDescent="0.2">
      <c r="A135" s="757" t="s">
        <v>321</v>
      </c>
      <c r="B135" s="761"/>
      <c r="C135" s="95"/>
      <c r="D135" s="95"/>
      <c r="E135" s="763"/>
      <c r="F135" s="758"/>
      <c r="G135" s="759"/>
      <c r="H135" s="758"/>
      <c r="I135" s="759"/>
      <c r="J135" s="758"/>
      <c r="K135" s="759"/>
      <c r="L135" s="758"/>
      <c r="M135" s="759"/>
      <c r="N135" s="758"/>
      <c r="O135" s="759"/>
      <c r="P135" s="758"/>
      <c r="Q135" s="759"/>
      <c r="R135" s="794"/>
      <c r="S135" s="795"/>
      <c r="T135" s="793"/>
      <c r="U135" s="15"/>
      <c r="AE135" s="496"/>
      <c r="AF135" s="497"/>
      <c r="AG135" s="497"/>
      <c r="AH135" s="497"/>
      <c r="AI135" s="497"/>
      <c r="AJ135" s="498"/>
      <c r="AK135" s="498"/>
      <c r="AL135" s="497"/>
      <c r="AM135" s="497"/>
      <c r="AN135" s="497"/>
      <c r="AO135" s="497"/>
      <c r="AP135" s="499"/>
      <c r="AQ135" s="499"/>
      <c r="AR135" s="751"/>
      <c r="AS135" s="751"/>
      <c r="AT135" s="752"/>
      <c r="AU135" s="753"/>
      <c r="AV135" s="753"/>
      <c r="AW135" s="753"/>
      <c r="AX135" s="753"/>
      <c r="AY135" s="754"/>
    </row>
    <row r="136" spans="1:51" ht="16" thickBot="1" x14ac:dyDescent="0.25">
      <c r="A136" s="755"/>
      <c r="B136" s="767" t="s">
        <v>322</v>
      </c>
      <c r="E136" s="769"/>
      <c r="R136" s="796"/>
      <c r="S136" s="503"/>
      <c r="T136" s="788"/>
      <c r="U136"/>
      <c r="AE136" s="485"/>
      <c r="AF136" s="486"/>
      <c r="AG136" s="486"/>
      <c r="AH136" s="486"/>
      <c r="AI136" s="486"/>
      <c r="AJ136" s="487"/>
      <c r="AK136" s="487"/>
      <c r="AL136" s="486"/>
      <c r="AM136" s="486"/>
      <c r="AN136" s="486"/>
      <c r="AO136" s="486"/>
      <c r="AP136" s="488"/>
      <c r="AQ136" s="488"/>
      <c r="AR136" s="743"/>
      <c r="AS136" s="743"/>
      <c r="AT136" s="744"/>
      <c r="AU136" s="745"/>
      <c r="AV136" s="745"/>
      <c r="AW136" s="745"/>
      <c r="AX136" s="745"/>
      <c r="AY136" s="746"/>
    </row>
    <row r="137" spans="1:51" ht="16" thickBot="1" x14ac:dyDescent="0.25">
      <c r="A137" s="755" t="s">
        <v>321</v>
      </c>
      <c r="B137" s="618" t="s">
        <v>322</v>
      </c>
      <c r="C137" s="502" t="s">
        <v>323</v>
      </c>
      <c r="D137" s="502" t="s">
        <v>324</v>
      </c>
      <c r="E137" s="728"/>
      <c r="F137" s="729"/>
      <c r="G137" s="537" t="s">
        <v>41</v>
      </c>
      <c r="H137" s="732"/>
      <c r="I137" s="537" t="s">
        <v>42</v>
      </c>
      <c r="J137" s="732"/>
      <c r="K137" s="537" t="s">
        <v>43</v>
      </c>
      <c r="L137" s="732"/>
      <c r="M137" s="537" t="s">
        <v>44</v>
      </c>
      <c r="N137" s="732"/>
      <c r="O137" s="537" t="s">
        <v>52</v>
      </c>
      <c r="P137" s="2"/>
      <c r="Q137" s="3" t="s">
        <v>52</v>
      </c>
      <c r="R137" s="783"/>
      <c r="S137" s="784">
        <f>'Base Information Sheet'!$B$23*'Physical Condition Assessment'!E137*'PCA Cost Tables - READ ONLY'!P138*'Physical Condition Assessment'!R137*'Base Information Sheet'!$B$38*'Base Information Sheet'!$B$37</f>
        <v>0</v>
      </c>
      <c r="T137" s="786"/>
      <c r="U137" t="s">
        <v>325</v>
      </c>
      <c r="V137" s="502" t="s">
        <v>326</v>
      </c>
      <c r="AE137" s="475" t="s">
        <v>71</v>
      </c>
      <c r="AF137" s="475"/>
      <c r="AG137" s="475" t="s">
        <v>72</v>
      </c>
      <c r="AH137" s="476">
        <f>_xlfn.XLOOKUP($U137,'PCA Cost Tables - READ ONLY'!$E$10:$E$172,'PCA Cost Tables - READ ONLY'!$F$10:$F$172,"BLANK",0)</f>
        <v>0.6994800000000001</v>
      </c>
      <c r="AI137" s="476">
        <f>_xlfn.XLOOKUP($U137,'PCA Cost Tables - READ ONLY'!$E$10:$E$172,'PCA Cost Tables - READ ONLY'!$H$10:$H$172,"BLANK",0)</f>
        <v>1.1347119999999999</v>
      </c>
      <c r="AJ137" s="476">
        <f>_xlfn.XLOOKUP($U137,'PCA Cost Tables - READ ONLY'!$E$10:$E$172,'PCA Cost Tables - READ ONLY'!$J$10:$J$172,"BLANK",0)</f>
        <v>1.3989600000000002</v>
      </c>
      <c r="AK137" s="476">
        <f>_xlfn.XLOOKUP($U137,'PCA Cost Tables - READ ONLY'!$E$10:$E$172,'PCA Cost Tables - READ ONLY'!$L$10:$L$172,"BLANK",0)</f>
        <v>3.6528400000000003</v>
      </c>
      <c r="AL137" s="477" t="str">
        <f>IF($AE137="SF",IF($AF137="X",'Base Information Sheet'!$B$23*'Physical Condition Assessment'!$E137*'Physical Condition Assessment'!$AJ137,"-"))</f>
        <v>-</v>
      </c>
      <c r="AM137" s="477">
        <f>IF($AE137="SF",IF($AG137="X",'Base Information Sheet'!$B$23*'Physical Condition Assessment'!$E137*'Physical Condition Assessment'!$AK137,"-"))</f>
        <v>0</v>
      </c>
      <c r="AN137" s="477" t="b">
        <f>IF($AE137="Unit",IF($AF137="X",'Physical Condition Assessment'!$E137*'Physical Condition Assessment'!$AJ137,"-"))</f>
        <v>0</v>
      </c>
      <c r="AO137" s="477" t="b">
        <f>IF($AE137="Unit",IF($AG137="X",'Physical Condition Assessment'!$E137*'Physical Condition Assessment'!$AK137,"-"))</f>
        <v>0</v>
      </c>
      <c r="AP137" s="477">
        <f t="shared" si="2"/>
        <v>0</v>
      </c>
      <c r="AQ137" s="478" t="e">
        <f t="shared" si="3"/>
        <v>#DIV/0!</v>
      </c>
      <c r="AR137" s="735"/>
      <c r="AS137" s="735">
        <v>50</v>
      </c>
      <c r="AT137" s="737">
        <f ca="1">IF($AR137&gt;0,$C$5-$AR137,$C$5-'Base Information Sheet'!$B$15)</f>
        <v>2026</v>
      </c>
      <c r="AU137" s="737">
        <f>IF($AR137&gt;0,$AR137+$AS137,'Base Information Sheet'!$B$15+'Physical Condition Assessment'!$AS137)</f>
        <v>50</v>
      </c>
      <c r="AV137" s="738">
        <f ca="1">IF($N137="x",0,IF($AU137&lt;=$C$5,'Physical Condition Assessment'!$AP137,0))</f>
        <v>0</v>
      </c>
      <c r="AW137" s="738">
        <f ca="1">IF(AV137&gt;0,0,IF($N137="x",0,IF(($AU137-6)&lt;$C$5,'Physical Condition Assessment'!$AP137,0)))</f>
        <v>0</v>
      </c>
      <c r="AX137" s="738">
        <f ca="1">IF(SUM(AV137:AW137)&gt;0,0,IF($N137="x",0,IF(($AU137-11)&lt;$C$5,'Physical Condition Assessment'!$AP137,0)))</f>
        <v>0</v>
      </c>
      <c r="AY137" s="738">
        <f ca="1">IF(SUM(AV137:AX137)&gt;0,0,IF($N137="x",0,IF(($AU137-16)&lt;$C$5,'Physical Condition Assessment'!$AP137,0)))</f>
        <v>0</v>
      </c>
    </row>
    <row r="138" spans="1:51" ht="16" thickBot="1" x14ac:dyDescent="0.25">
      <c r="A138" s="755" t="s">
        <v>321</v>
      </c>
      <c r="B138" s="756" t="s">
        <v>322</v>
      </c>
      <c r="C138" s="502" t="s">
        <v>323</v>
      </c>
      <c r="D138" s="502" t="s">
        <v>327</v>
      </c>
      <c r="E138" s="728"/>
      <c r="F138" s="729"/>
      <c r="G138" s="537" t="s">
        <v>41</v>
      </c>
      <c r="H138" s="732"/>
      <c r="I138" s="537" t="s">
        <v>42</v>
      </c>
      <c r="J138" s="732"/>
      <c r="K138" s="537" t="s">
        <v>43</v>
      </c>
      <c r="L138" s="732"/>
      <c r="M138" s="537" t="s">
        <v>44</v>
      </c>
      <c r="N138" s="732"/>
      <c r="O138" s="537" t="s">
        <v>52</v>
      </c>
      <c r="P138" s="2"/>
      <c r="Q138" s="3" t="s">
        <v>52</v>
      </c>
      <c r="R138" s="783"/>
      <c r="S138" s="784">
        <f>'Base Information Sheet'!$B$23*'Physical Condition Assessment'!E138*'PCA Cost Tables - READ ONLY'!P139*'Physical Condition Assessment'!R138*'Base Information Sheet'!$B$38*'Base Information Sheet'!$B$37</f>
        <v>0</v>
      </c>
      <c r="T138" s="786"/>
      <c r="U138" t="s">
        <v>328</v>
      </c>
      <c r="V138" s="502" t="s">
        <v>326</v>
      </c>
      <c r="AE138" s="475" t="s">
        <v>71</v>
      </c>
      <c r="AF138" s="475"/>
      <c r="AG138" s="475" t="s">
        <v>72</v>
      </c>
      <c r="AH138" s="476">
        <f>_xlfn.XLOOKUP($U138,'PCA Cost Tables - READ ONLY'!$E$10:$E$172,'PCA Cost Tables - READ ONLY'!$F$10:$F$172,"BLANK",0)</f>
        <v>2.1711999999999998</v>
      </c>
      <c r="AI138" s="476">
        <f>_xlfn.XLOOKUP($U138,'PCA Cost Tables - READ ONLY'!$E$10:$E$172,'PCA Cost Tables - READ ONLY'!$H$10:$H$172,"BLANK",0)</f>
        <v>5.5105999999999993</v>
      </c>
      <c r="AJ138" s="476">
        <f>_xlfn.XLOOKUP($U138,'PCA Cost Tables - READ ONLY'!$E$10:$E$172,'PCA Cost Tables - READ ONLY'!$J$10:$J$172,"BLANK",0)</f>
        <v>10.891399999999999</v>
      </c>
      <c r="AK138" s="476">
        <f>_xlfn.XLOOKUP($U138,'PCA Cost Tables - READ ONLY'!$E$10:$E$172,'PCA Cost Tables - READ ONLY'!$L$10:$L$172,"BLANK",0)</f>
        <v>39.187799999999996</v>
      </c>
      <c r="AL138" s="477" t="str">
        <f>IF($AE138="SF",IF($AF138="X",'Base Information Sheet'!$B$23*'Physical Condition Assessment'!$E138*'Physical Condition Assessment'!$AJ138,"-"))</f>
        <v>-</v>
      </c>
      <c r="AM138" s="477">
        <f>IF($AE138="SF",IF($AG138="X",'Base Information Sheet'!$B$23*'Physical Condition Assessment'!$E138*'Physical Condition Assessment'!$AK138,"-"))</f>
        <v>0</v>
      </c>
      <c r="AN138" s="477" t="b">
        <f>IF($AE138="Unit",IF($AF138="X",'Physical Condition Assessment'!$E138*'Physical Condition Assessment'!$AJ138,"-"))</f>
        <v>0</v>
      </c>
      <c r="AO138" s="477" t="b">
        <f>IF($AE138="Unit",IF($AG138="X",'Physical Condition Assessment'!$E138*'Physical Condition Assessment'!$AK138,"-"))</f>
        <v>0</v>
      </c>
      <c r="AP138" s="477">
        <f t="shared" si="2"/>
        <v>0</v>
      </c>
      <c r="AQ138" s="478" t="e">
        <f t="shared" si="3"/>
        <v>#DIV/0!</v>
      </c>
      <c r="AR138" s="735"/>
      <c r="AS138" s="735">
        <v>50</v>
      </c>
      <c r="AT138" s="737">
        <f ca="1">IF($AR138&gt;0,$C$5-$AR138,$C$5-'Base Information Sheet'!$B$15)</f>
        <v>2026</v>
      </c>
      <c r="AU138" s="737">
        <f>IF($AR138&gt;0,$AR138+$AS138,'Base Information Sheet'!$B$15+'Physical Condition Assessment'!$AS138)</f>
        <v>50</v>
      </c>
      <c r="AV138" s="738">
        <f ca="1">IF($N138="x",0,IF($AU138&lt;=$C$5,'Physical Condition Assessment'!$AP138,0))</f>
        <v>0</v>
      </c>
      <c r="AW138" s="738">
        <f ca="1">IF(AV138&gt;0,0,IF($N138="x",0,IF(($AU138-6)&lt;$C$5,'Physical Condition Assessment'!$AP138,0)))</f>
        <v>0</v>
      </c>
      <c r="AX138" s="738">
        <f ca="1">IF(SUM(AV138:AW138)&gt;0,0,IF($N138="x",0,IF(($AU138-11)&lt;$C$5,'Physical Condition Assessment'!$AP138,0)))</f>
        <v>0</v>
      </c>
      <c r="AY138" s="738">
        <f ca="1">IF(SUM(AV138:AX138)&gt;0,0,IF($N138="x",0,IF(($AU138-16)&lt;$C$5,'Physical Condition Assessment'!$AP138,0)))</f>
        <v>0</v>
      </c>
    </row>
    <row r="139" spans="1:51" ht="16" thickBot="1" x14ac:dyDescent="0.25">
      <c r="A139" s="755" t="s">
        <v>321</v>
      </c>
      <c r="B139" s="756" t="s">
        <v>322</v>
      </c>
      <c r="C139" s="502" t="s">
        <v>329</v>
      </c>
      <c r="D139" s="502" t="s">
        <v>330</v>
      </c>
      <c r="E139" s="728"/>
      <c r="F139" s="729"/>
      <c r="G139" s="537" t="s">
        <v>41</v>
      </c>
      <c r="H139" s="732"/>
      <c r="I139" s="537" t="s">
        <v>42</v>
      </c>
      <c r="J139" s="732"/>
      <c r="K139" s="537" t="s">
        <v>43</v>
      </c>
      <c r="L139" s="732"/>
      <c r="M139" s="537" t="s">
        <v>44</v>
      </c>
      <c r="N139" s="732"/>
      <c r="O139" s="537" t="s">
        <v>52</v>
      </c>
      <c r="P139" s="2"/>
      <c r="Q139" s="3" t="s">
        <v>52</v>
      </c>
      <c r="R139" s="783"/>
      <c r="S139" s="784">
        <f>'Physical Condition Assessment'!E139*'PCA Cost Tables - READ ONLY'!P140*'Physical Condition Assessment'!R139*'Base Information Sheet'!$B$38*'Base Information Sheet'!$B$37</f>
        <v>0</v>
      </c>
      <c r="T139" s="786"/>
      <c r="U139" t="s">
        <v>331</v>
      </c>
      <c r="V139" s="502" t="s">
        <v>326</v>
      </c>
      <c r="AE139" s="475" t="s">
        <v>51</v>
      </c>
      <c r="AF139" s="475"/>
      <c r="AG139" s="475" t="s">
        <v>72</v>
      </c>
      <c r="AH139" s="476">
        <f>_xlfn.XLOOKUP($U139,'PCA Cost Tables - READ ONLY'!$E$10:$E$172,'PCA Cost Tables - READ ONLY'!$F$10:$F$172,"BLANK",0)</f>
        <v>2.5938359999999996</v>
      </c>
      <c r="AI139" s="476">
        <f>_xlfn.XLOOKUP($U139,'PCA Cost Tables - READ ONLY'!$E$10:$E$172,'PCA Cost Tables - READ ONLY'!$H$10:$H$172,"BLANK",0)</f>
        <v>6.5846999999999998</v>
      </c>
      <c r="AJ139" s="476">
        <f>_xlfn.XLOOKUP($U139,'PCA Cost Tables - READ ONLY'!$E$10:$E$172,'PCA Cost Tables - READ ONLY'!$J$10:$J$172,"BLANK",0)</f>
        <v>13.0143</v>
      </c>
      <c r="AK139" s="476">
        <f>_xlfn.XLOOKUP($U139,'PCA Cost Tables - READ ONLY'!$E$10:$E$172,'PCA Cost Tables - READ ONLY'!$L$10:$L$172,"BLANK",0)</f>
        <v>46.826099999999997</v>
      </c>
      <c r="AL139" s="477" t="b">
        <f>IF($AE139="SF",IF($AF139="X",'Base Information Sheet'!$B$23*'Physical Condition Assessment'!$E139*'Physical Condition Assessment'!$AJ139,"-"))</f>
        <v>0</v>
      </c>
      <c r="AM139" s="477" t="b">
        <f>IF($AE139="SF",IF($AG139="X",'Base Information Sheet'!$B$23*'Physical Condition Assessment'!$E139*'Physical Condition Assessment'!$AK139,"-"))</f>
        <v>0</v>
      </c>
      <c r="AN139" s="477" t="str">
        <f>IF($AE139="Unit",IF($AF139="X",'Physical Condition Assessment'!$E139*'Physical Condition Assessment'!$AJ139,"-"))</f>
        <v>-</v>
      </c>
      <c r="AO139" s="477">
        <f>IF($AE139="Unit",IF($AG139="X",'Physical Condition Assessment'!$E139*'Physical Condition Assessment'!$AK139,"-"))</f>
        <v>0</v>
      </c>
      <c r="AP139" s="477">
        <f t="shared" ref="AP139:AP170" si="4">SUMIF(AL139:AO139,"&gt;0",AL139:AO139)*$AK$2*$AK$3</f>
        <v>0</v>
      </c>
      <c r="AQ139" s="478" t="e">
        <f t="shared" ref="AQ139:AQ170" si="5">S139/AP139</f>
        <v>#DIV/0!</v>
      </c>
      <c r="AR139" s="735"/>
      <c r="AS139" s="735">
        <v>50</v>
      </c>
      <c r="AT139" s="737">
        <f ca="1">IF($AR139&gt;0,$C$5-$AR139,$C$5-'Base Information Sheet'!$B$15)</f>
        <v>2026</v>
      </c>
      <c r="AU139" s="737">
        <f>IF($AR139&gt;0,$AR139+$AS139,'Base Information Sheet'!$B$15+'Physical Condition Assessment'!$AS139)</f>
        <v>50</v>
      </c>
      <c r="AV139" s="738">
        <f ca="1">IF($N139="x",0,IF($AU139&lt;=$C$5,'Physical Condition Assessment'!$AP139,0))</f>
        <v>0</v>
      </c>
      <c r="AW139" s="738">
        <f ca="1">IF(AV139&gt;0,0,IF($N139="x",0,IF(($AU139-6)&lt;$C$5,'Physical Condition Assessment'!$AP139,0)))</f>
        <v>0</v>
      </c>
      <c r="AX139" s="738">
        <f ca="1">IF(SUM(AV139:AW139)&gt;0,0,IF($N139="x",0,IF(($AU139-11)&lt;$C$5,'Physical Condition Assessment'!$AP139,0)))</f>
        <v>0</v>
      </c>
      <c r="AY139" s="738">
        <f ca="1">IF(SUM(AV139:AX139)&gt;0,0,IF($N139="x",0,IF(($AU139-16)&lt;$C$5,'Physical Condition Assessment'!$AP139,0)))</f>
        <v>0</v>
      </c>
    </row>
    <row r="140" spans="1:51" ht="16" thickBot="1" x14ac:dyDescent="0.25">
      <c r="A140" s="755" t="s">
        <v>321</v>
      </c>
      <c r="B140" s="756" t="s">
        <v>322</v>
      </c>
      <c r="C140" s="502" t="s">
        <v>329</v>
      </c>
      <c r="D140" s="502" t="s">
        <v>332</v>
      </c>
      <c r="E140" s="728"/>
      <c r="F140" s="729"/>
      <c r="G140" s="537" t="s">
        <v>41</v>
      </c>
      <c r="H140" s="732"/>
      <c r="I140" s="537" t="s">
        <v>42</v>
      </c>
      <c r="J140" s="732"/>
      <c r="K140" s="537" t="s">
        <v>43</v>
      </c>
      <c r="L140" s="732"/>
      <c r="M140" s="537" t="s">
        <v>44</v>
      </c>
      <c r="N140" s="732"/>
      <c r="O140" s="537" t="s">
        <v>52</v>
      </c>
      <c r="P140" s="2"/>
      <c r="Q140" s="3" t="s">
        <v>52</v>
      </c>
      <c r="R140" s="783"/>
      <c r="S140" s="784">
        <f>'Physical Condition Assessment'!E140*'PCA Cost Tables - READ ONLY'!P141*'Physical Condition Assessment'!R140*'Base Information Sheet'!$B$38*'Base Information Sheet'!$B$37</f>
        <v>0</v>
      </c>
      <c r="T140" s="786"/>
      <c r="U140" t="s">
        <v>333</v>
      </c>
      <c r="V140" s="502" t="s">
        <v>326</v>
      </c>
      <c r="AE140" s="475" t="s">
        <v>51</v>
      </c>
      <c r="AF140" s="475"/>
      <c r="AG140" s="475" t="s">
        <v>72</v>
      </c>
      <c r="AH140" s="476">
        <f>_xlfn.XLOOKUP($U140,'PCA Cost Tables - READ ONLY'!$E$10:$E$172,'PCA Cost Tables - READ ONLY'!$F$10:$F$172,"BLANK",0)</f>
        <v>2.334276</v>
      </c>
      <c r="AI140" s="476">
        <f>_xlfn.XLOOKUP($U140,'PCA Cost Tables - READ ONLY'!$E$10:$E$172,'PCA Cost Tables - READ ONLY'!$H$10:$H$172,"BLANK",0)</f>
        <v>3.6933999999999996</v>
      </c>
      <c r="AJ140" s="476">
        <f>_xlfn.XLOOKUP($U140,'PCA Cost Tables - READ ONLY'!$E$10:$E$172,'PCA Cost Tables - READ ONLY'!$J$10:$J$172,"BLANK",0)</f>
        <v>7.375</v>
      </c>
      <c r="AK140" s="476">
        <f>_xlfn.XLOOKUP($U140,'PCA Cost Tables - READ ONLY'!$E$10:$E$172,'PCA Cost Tables - READ ONLY'!$L$10:$L$172,"BLANK",0)</f>
        <v>32.449999999999996</v>
      </c>
      <c r="AL140" s="477" t="b">
        <f>IF($AE140="SF",IF($AF140="X",'Base Information Sheet'!$B$23*'Physical Condition Assessment'!$E140*'Physical Condition Assessment'!$AJ140,"-"))</f>
        <v>0</v>
      </c>
      <c r="AM140" s="477" t="b">
        <f>IF($AE140="SF",IF($AG140="X",'Base Information Sheet'!$B$23*'Physical Condition Assessment'!$E140*'Physical Condition Assessment'!$AK140,"-"))</f>
        <v>0</v>
      </c>
      <c r="AN140" s="477" t="str">
        <f>IF($AE140="Unit",IF($AF140="X",'Physical Condition Assessment'!$E140*'Physical Condition Assessment'!$AJ140,"-"))</f>
        <v>-</v>
      </c>
      <c r="AO140" s="477">
        <f>IF($AE140="Unit",IF($AG140="X",'Physical Condition Assessment'!$E140*'Physical Condition Assessment'!$AK140,"-"))</f>
        <v>0</v>
      </c>
      <c r="AP140" s="477">
        <f t="shared" si="4"/>
        <v>0</v>
      </c>
      <c r="AQ140" s="478" t="e">
        <f t="shared" si="5"/>
        <v>#DIV/0!</v>
      </c>
      <c r="AR140" s="735"/>
      <c r="AS140" s="735">
        <v>50</v>
      </c>
      <c r="AT140" s="737">
        <f ca="1">IF($AR140&gt;0,$C$5-$AR140,$C$5-'Base Information Sheet'!$B$15)</f>
        <v>2026</v>
      </c>
      <c r="AU140" s="737">
        <f>IF($AR140&gt;0,$AR140+$AS140,'Base Information Sheet'!$B$15+'Physical Condition Assessment'!$AS140)</f>
        <v>50</v>
      </c>
      <c r="AV140" s="738">
        <f ca="1">IF($N140="x",0,IF($AU140&lt;=$C$5,'Physical Condition Assessment'!$AP140,0))</f>
        <v>0</v>
      </c>
      <c r="AW140" s="738">
        <f ca="1">IF(AV140&gt;0,0,IF($N140="x",0,IF(($AU140-6)&lt;$C$5,'Physical Condition Assessment'!$AP140,0)))</f>
        <v>0</v>
      </c>
      <c r="AX140" s="738">
        <f ca="1">IF(SUM(AV140:AW140)&gt;0,0,IF($N140="x",0,IF(($AU140-11)&lt;$C$5,'Physical Condition Assessment'!$AP140,0)))</f>
        <v>0</v>
      </c>
      <c r="AY140" s="738">
        <f ca="1">IF(SUM(AV140:AX140)&gt;0,0,IF($N140="x",0,IF(($AU140-16)&lt;$C$5,'Physical Condition Assessment'!$AP140,0)))</f>
        <v>0</v>
      </c>
    </row>
    <row r="141" spans="1:51" ht="16" thickBot="1" x14ac:dyDescent="0.25">
      <c r="A141" s="755" t="s">
        <v>321</v>
      </c>
      <c r="B141" s="756" t="s">
        <v>322</v>
      </c>
      <c r="C141" s="502" t="s">
        <v>329</v>
      </c>
      <c r="D141" s="502" t="s">
        <v>334</v>
      </c>
      <c r="E141" s="728"/>
      <c r="F141" s="729"/>
      <c r="G141" s="537" t="s">
        <v>41</v>
      </c>
      <c r="H141" s="732"/>
      <c r="I141" s="537" t="s">
        <v>42</v>
      </c>
      <c r="J141" s="732"/>
      <c r="K141" s="537" t="s">
        <v>43</v>
      </c>
      <c r="L141" s="732"/>
      <c r="M141" s="537" t="s">
        <v>44</v>
      </c>
      <c r="N141" s="732"/>
      <c r="O141" s="537" t="s">
        <v>52</v>
      </c>
      <c r="P141" s="2"/>
      <c r="Q141" s="3" t="s">
        <v>52</v>
      </c>
      <c r="R141" s="783"/>
      <c r="S141" s="784">
        <f>'Physical Condition Assessment'!E141*'PCA Cost Tables - READ ONLY'!P142*'Physical Condition Assessment'!R141*'Base Information Sheet'!$B$38*'Base Information Sheet'!$B$37</f>
        <v>0</v>
      </c>
      <c r="T141" s="786"/>
      <c r="U141" t="s">
        <v>335</v>
      </c>
      <c r="V141" s="502" t="s">
        <v>326</v>
      </c>
      <c r="AE141" s="475" t="s">
        <v>51</v>
      </c>
      <c r="AF141" s="475"/>
      <c r="AG141" s="475" t="s">
        <v>72</v>
      </c>
      <c r="AH141" s="476">
        <f>_xlfn.XLOOKUP($U141,'PCA Cost Tables - READ ONLY'!$E$10:$E$172,'PCA Cost Tables - READ ONLY'!$F$10:$F$172,"BLANK",0)</f>
        <v>7.4339999999999993</v>
      </c>
      <c r="AI141" s="476">
        <f>_xlfn.XLOOKUP($U141,'PCA Cost Tables - READ ONLY'!$E$10:$E$172,'PCA Cost Tables - READ ONLY'!$H$10:$H$172,"BLANK",0)</f>
        <v>17.8416</v>
      </c>
      <c r="AJ141" s="476">
        <f>_xlfn.XLOOKUP($U141,'PCA Cost Tables - READ ONLY'!$E$10:$E$172,'PCA Cost Tables - READ ONLY'!$J$10:$J$172,"BLANK",0)</f>
        <v>37.169999999999995</v>
      </c>
      <c r="AK141" s="476">
        <f>_xlfn.XLOOKUP($U141,'PCA Cost Tables - READ ONLY'!$E$10:$E$172,'PCA Cost Tables - READ ONLY'!$L$10:$L$172,"BLANK",0)</f>
        <v>89.207999999999984</v>
      </c>
      <c r="AL141" s="477" t="b">
        <f>IF($AE141="SF",IF($AF141="X",'Base Information Sheet'!$B$23*'Physical Condition Assessment'!$E141*'Physical Condition Assessment'!$AJ141,"-"))</f>
        <v>0</v>
      </c>
      <c r="AM141" s="477" t="b">
        <f>IF($AE141="SF",IF($AG141="X",'Base Information Sheet'!$B$23*'Physical Condition Assessment'!$E141*'Physical Condition Assessment'!$AK141,"-"))</f>
        <v>0</v>
      </c>
      <c r="AN141" s="477" t="str">
        <f>IF($AE141="Unit",IF($AF141="X",'Physical Condition Assessment'!$E141*'Physical Condition Assessment'!$AJ141,"-"))</f>
        <v>-</v>
      </c>
      <c r="AO141" s="477">
        <f>IF($AE141="Unit",IF($AG141="X",'Physical Condition Assessment'!$E141*'Physical Condition Assessment'!$AK141,"-"))</f>
        <v>0</v>
      </c>
      <c r="AP141" s="477">
        <f t="shared" si="4"/>
        <v>0</v>
      </c>
      <c r="AQ141" s="478" t="e">
        <f t="shared" si="5"/>
        <v>#DIV/0!</v>
      </c>
      <c r="AR141" s="735"/>
      <c r="AS141" s="735">
        <v>50</v>
      </c>
      <c r="AT141" s="737">
        <f ca="1">IF($AR141&gt;0,$C$5-$AR141,$C$5-'Base Information Sheet'!$B$15)</f>
        <v>2026</v>
      </c>
      <c r="AU141" s="737">
        <f>IF($AR141&gt;0,$AR141+$AS141,'Base Information Sheet'!$B$15+'Physical Condition Assessment'!$AS141)</f>
        <v>50</v>
      </c>
      <c r="AV141" s="738">
        <f ca="1">IF($N141="x",0,IF($AU141&lt;=$C$5,'Physical Condition Assessment'!$AP141,0))</f>
        <v>0</v>
      </c>
      <c r="AW141" s="738">
        <f ca="1">IF(AV141&gt;0,0,IF($N141="x",0,IF(($AU141-6)&lt;$C$5,'Physical Condition Assessment'!$AP141,0)))</f>
        <v>0</v>
      </c>
      <c r="AX141" s="738">
        <f ca="1">IF(SUM(AV141:AW141)&gt;0,0,IF($N141="x",0,IF(($AU141-11)&lt;$C$5,'Physical Condition Assessment'!$AP141,0)))</f>
        <v>0</v>
      </c>
      <c r="AY141" s="738">
        <f ca="1">IF(SUM(AV141:AX141)&gt;0,0,IF($N141="x",0,IF(($AU141-16)&lt;$C$5,'Physical Condition Assessment'!$AP141,0)))</f>
        <v>0</v>
      </c>
    </row>
    <row r="142" spans="1:51" ht="16" thickBot="1" x14ac:dyDescent="0.25">
      <c r="A142" s="755" t="s">
        <v>321</v>
      </c>
      <c r="B142" s="756" t="s">
        <v>322</v>
      </c>
      <c r="C142" s="502" t="s">
        <v>329</v>
      </c>
      <c r="D142" s="502" t="s">
        <v>336</v>
      </c>
      <c r="E142" s="728"/>
      <c r="F142" s="729"/>
      <c r="G142" s="537" t="s">
        <v>41</v>
      </c>
      <c r="H142" s="732"/>
      <c r="I142" s="537" t="s">
        <v>42</v>
      </c>
      <c r="J142" s="732"/>
      <c r="K142" s="537" t="s">
        <v>43</v>
      </c>
      <c r="L142" s="732"/>
      <c r="M142" s="537" t="s">
        <v>44</v>
      </c>
      <c r="N142" s="732"/>
      <c r="O142" s="537" t="s">
        <v>52</v>
      </c>
      <c r="P142" s="2"/>
      <c r="Q142" s="3"/>
      <c r="R142" s="783"/>
      <c r="S142" s="784">
        <f>'Base Information Sheet'!$B$23*'Physical Condition Assessment'!E142*'PCA Cost Tables - READ ONLY'!P143*'Physical Condition Assessment'!R142*'Base Information Sheet'!$B$38*'Base Information Sheet'!$B$37</f>
        <v>0</v>
      </c>
      <c r="T142" s="786"/>
      <c r="U142" t="s">
        <v>337</v>
      </c>
      <c r="V142" s="502" t="s">
        <v>326</v>
      </c>
      <c r="AE142" s="475" t="s">
        <v>71</v>
      </c>
      <c r="AF142" s="475"/>
      <c r="AG142" s="475" t="s">
        <v>72</v>
      </c>
      <c r="AH142" s="476">
        <f>_xlfn.XLOOKUP($U142,'PCA Cost Tables - READ ONLY'!$E$10:$E$172,'PCA Cost Tables - READ ONLY'!$F$10:$F$172,"BLANK",0)</f>
        <v>0.28815600000000002</v>
      </c>
      <c r="AI142" s="476">
        <f>_xlfn.XLOOKUP($U142,'PCA Cost Tables - READ ONLY'!$E$10:$E$172,'PCA Cost Tables - READ ONLY'!$H$10:$H$172,"BLANK",0)</f>
        <v>1.6634460000000002</v>
      </c>
      <c r="AJ142" s="476">
        <f>_xlfn.XLOOKUP($U142,'PCA Cost Tables - READ ONLY'!$E$10:$E$172,'PCA Cost Tables - READ ONLY'!$J$10:$J$172,"BLANK",0)</f>
        <v>0.510822</v>
      </c>
      <c r="AK142" s="476">
        <f>_xlfn.XLOOKUP($U142,'PCA Cost Tables - READ ONLY'!$E$10:$E$172,'PCA Cost Tables - READ ONLY'!$L$10:$L$172,"BLANK",0)</f>
        <v>2.593404</v>
      </c>
      <c r="AL142" s="477" t="str">
        <f>IF($AE142="SF",IF($AF142="X",'Base Information Sheet'!$B$23*'Physical Condition Assessment'!$E142*'Physical Condition Assessment'!$AJ142,"-"))</f>
        <v>-</v>
      </c>
      <c r="AM142" s="477">
        <f>IF($AE142="SF",IF($AG142="X",'Base Information Sheet'!$B$23*'Physical Condition Assessment'!$E142*'Physical Condition Assessment'!$AK142,"-"))</f>
        <v>0</v>
      </c>
      <c r="AN142" s="477" t="b">
        <f>IF($AE142="Unit",IF($AF142="X",'Physical Condition Assessment'!$E142*'Physical Condition Assessment'!$AJ142,"-"))</f>
        <v>0</v>
      </c>
      <c r="AO142" s="477" t="b">
        <f>IF($AE142="Unit",IF($AG142="X",'Physical Condition Assessment'!$E142*'Physical Condition Assessment'!$AK142,"-"))</f>
        <v>0</v>
      </c>
      <c r="AP142" s="477">
        <f t="shared" si="4"/>
        <v>0</v>
      </c>
      <c r="AQ142" s="478" t="e">
        <f t="shared" si="5"/>
        <v>#DIV/0!</v>
      </c>
      <c r="AR142" s="735"/>
      <c r="AS142" s="735">
        <v>50</v>
      </c>
      <c r="AT142" s="737">
        <f ca="1">IF($AR142&gt;0,$C$5-$AR142,$C$5-'Base Information Sheet'!$B$15)</f>
        <v>2026</v>
      </c>
      <c r="AU142" s="737">
        <f>IF($AR142&gt;0,$AR142+$AS142,'Base Information Sheet'!$B$15+'Physical Condition Assessment'!$AS142)</f>
        <v>50</v>
      </c>
      <c r="AV142" s="738">
        <f ca="1">IF($N142="x",0,IF($AU142&lt;=$C$5,'Physical Condition Assessment'!$AP142,0))</f>
        <v>0</v>
      </c>
      <c r="AW142" s="738">
        <f ca="1">IF(AV142&gt;0,0,IF($N142="x",0,IF(($AU142-6)&lt;$C$5,'Physical Condition Assessment'!$AP142,0)))</f>
        <v>0</v>
      </c>
      <c r="AX142" s="738">
        <f ca="1">IF(SUM(AV142:AW142)&gt;0,0,IF($N142="x",0,IF(($AU142-11)&lt;$C$5,'Physical Condition Assessment'!$AP142,0)))</f>
        <v>0</v>
      </c>
      <c r="AY142" s="738">
        <f ca="1">IF(SUM(AV142:AX142)&gt;0,0,IF($N142="x",0,IF(($AU142-16)&lt;$C$5,'Physical Condition Assessment'!$AP142,0)))</f>
        <v>0</v>
      </c>
    </row>
    <row r="143" spans="1:51" ht="14.75" hidden="1" customHeight="1" thickBot="1" x14ac:dyDescent="0.25">
      <c r="A143" s="755" t="s">
        <v>321</v>
      </c>
      <c r="B143" s="756"/>
      <c r="C143" s="502" t="s">
        <v>338</v>
      </c>
      <c r="D143" s="502" t="s">
        <v>78</v>
      </c>
      <c r="E143" s="25"/>
      <c r="F143" s="464"/>
      <c r="G143" s="537" t="s">
        <v>41</v>
      </c>
      <c r="H143" s="2"/>
      <c r="I143" s="537" t="s">
        <v>42</v>
      </c>
      <c r="J143" s="5"/>
      <c r="K143" s="537" t="s">
        <v>43</v>
      </c>
      <c r="L143" s="5"/>
      <c r="M143" s="537" t="s">
        <v>44</v>
      </c>
      <c r="N143" s="5"/>
      <c r="O143" s="537" t="s">
        <v>52</v>
      </c>
      <c r="P143" s="5"/>
      <c r="Q143" s="3" t="s">
        <v>52</v>
      </c>
      <c r="R143" s="789"/>
      <c r="S143" s="797"/>
      <c r="T143" s="791"/>
      <c r="U143"/>
      <c r="AE143" s="479"/>
      <c r="AF143" s="480"/>
      <c r="AG143" s="480"/>
      <c r="AH143" s="480"/>
      <c r="AI143" s="480"/>
      <c r="AJ143" s="481"/>
      <c r="AK143" s="481"/>
      <c r="AL143" s="480"/>
      <c r="AM143" s="480"/>
      <c r="AN143" s="480"/>
      <c r="AO143" s="480"/>
      <c r="AP143" s="482"/>
      <c r="AQ143" s="482"/>
      <c r="AR143" s="705"/>
      <c r="AS143" s="705"/>
      <c r="AT143" s="483"/>
      <c r="AU143" s="482"/>
      <c r="AV143" s="482"/>
      <c r="AW143" s="482"/>
      <c r="AX143" s="482"/>
      <c r="AY143" s="484"/>
    </row>
    <row r="144" spans="1:51" ht="14.75" hidden="1" customHeight="1" thickBot="1" x14ac:dyDescent="0.25">
      <c r="A144" s="755" t="s">
        <v>321</v>
      </c>
      <c r="B144" s="756"/>
      <c r="C144" s="502" t="s">
        <v>339</v>
      </c>
      <c r="D144" s="502" t="s">
        <v>78</v>
      </c>
      <c r="E144" s="25"/>
      <c r="F144" s="464"/>
      <c r="G144" s="537" t="s">
        <v>41</v>
      </c>
      <c r="H144" s="2"/>
      <c r="I144" s="537" t="s">
        <v>42</v>
      </c>
      <c r="J144" s="5"/>
      <c r="K144" s="537" t="s">
        <v>43</v>
      </c>
      <c r="L144" s="5"/>
      <c r="M144" s="537" t="s">
        <v>44</v>
      </c>
      <c r="N144" s="5"/>
      <c r="O144" s="537" t="s">
        <v>52</v>
      </c>
      <c r="P144" s="5"/>
      <c r="Q144" s="3" t="s">
        <v>52</v>
      </c>
      <c r="R144" s="789"/>
      <c r="S144" s="797"/>
      <c r="T144" s="791"/>
      <c r="U144"/>
      <c r="AE144" s="496"/>
      <c r="AF144" s="497"/>
      <c r="AG144" s="497"/>
      <c r="AH144" s="497"/>
      <c r="AI144" s="497"/>
      <c r="AJ144" s="498"/>
      <c r="AK144" s="498"/>
      <c r="AL144" s="497"/>
      <c r="AM144" s="497"/>
      <c r="AN144" s="497"/>
      <c r="AO144" s="497"/>
      <c r="AP144" s="499"/>
      <c r="AQ144" s="499"/>
      <c r="AR144" s="707"/>
      <c r="AS144" s="707"/>
      <c r="AT144" s="500"/>
      <c r="AU144" s="499"/>
      <c r="AV144" s="499"/>
      <c r="AW144" s="499"/>
      <c r="AX144" s="499"/>
      <c r="AY144" s="501"/>
    </row>
    <row r="145" spans="1:51" ht="16" thickBot="1" x14ac:dyDescent="0.25">
      <c r="A145" s="755"/>
      <c r="B145" s="767" t="s">
        <v>340</v>
      </c>
      <c r="E145" s="769"/>
      <c r="R145" s="796"/>
      <c r="S145" s="503"/>
      <c r="T145" s="788"/>
      <c r="U145"/>
      <c r="AE145" s="485"/>
      <c r="AF145" s="486"/>
      <c r="AG145" s="486"/>
      <c r="AH145" s="486"/>
      <c r="AI145" s="486"/>
      <c r="AJ145" s="487"/>
      <c r="AK145" s="487"/>
      <c r="AL145" s="486"/>
      <c r="AM145" s="486"/>
      <c r="AN145" s="486"/>
      <c r="AO145" s="486"/>
      <c r="AP145" s="488"/>
      <c r="AQ145" s="488"/>
      <c r="AR145" s="743"/>
      <c r="AS145" s="743"/>
      <c r="AT145" s="744"/>
      <c r="AU145" s="745"/>
      <c r="AV145" s="745"/>
      <c r="AW145" s="745"/>
      <c r="AX145" s="745"/>
      <c r="AY145" s="746"/>
    </row>
    <row r="146" spans="1:51" ht="16" thickBot="1" x14ac:dyDescent="0.25">
      <c r="A146" s="755" t="s">
        <v>321</v>
      </c>
      <c r="B146" s="756" t="s">
        <v>340</v>
      </c>
      <c r="C146" s="502" t="s">
        <v>341</v>
      </c>
      <c r="D146" s="773"/>
      <c r="E146" s="728"/>
      <c r="F146" s="729"/>
      <c r="G146" s="537" t="s">
        <v>41</v>
      </c>
      <c r="H146" s="732"/>
      <c r="I146" s="537" t="s">
        <v>42</v>
      </c>
      <c r="J146" s="732"/>
      <c r="K146" s="537" t="s">
        <v>43</v>
      </c>
      <c r="L146" s="732"/>
      <c r="M146" s="537" t="s">
        <v>44</v>
      </c>
      <c r="N146" s="732"/>
      <c r="O146" s="537" t="s">
        <v>52</v>
      </c>
      <c r="P146" s="2"/>
      <c r="Q146" s="3" t="s">
        <v>52</v>
      </c>
      <c r="R146" s="783"/>
      <c r="S146" s="784">
        <f>'Base Information Sheet'!$B$23*'Physical Condition Assessment'!E146*'PCA Cost Tables - READ ONLY'!P147*'Physical Condition Assessment'!R146*'Base Information Sheet'!$B$38*'Base Information Sheet'!$B$37</f>
        <v>0</v>
      </c>
      <c r="T146" s="786"/>
      <c r="U146" t="s">
        <v>342</v>
      </c>
      <c r="V146" s="502" t="s">
        <v>326</v>
      </c>
      <c r="AE146" s="475" t="s">
        <v>71</v>
      </c>
      <c r="AF146" s="475"/>
      <c r="AG146" s="475" t="s">
        <v>72</v>
      </c>
      <c r="AH146" s="476">
        <f>_xlfn.XLOOKUP($U146,'PCA Cost Tables - READ ONLY'!$E$10:$E$172,'PCA Cost Tables - READ ONLY'!$F$10:$F$172,"BLANK",0)</f>
        <v>2.0502499999999997</v>
      </c>
      <c r="AI146" s="476">
        <f>_xlfn.XLOOKUP($U146,'PCA Cost Tables - READ ONLY'!$E$10:$E$172,'PCA Cost Tables - READ ONLY'!$H$10:$H$172,"BLANK",0)</f>
        <v>3.4662499999999996</v>
      </c>
      <c r="AJ146" s="476">
        <f>_xlfn.XLOOKUP($U146,'PCA Cost Tables - READ ONLY'!$E$10:$E$172,'PCA Cost Tables - READ ONLY'!$J$10:$J$172,"BLANK",0)</f>
        <v>5.5165000000000006</v>
      </c>
      <c r="AK146" s="476">
        <f>_xlfn.XLOOKUP($U146,'PCA Cost Tables - READ ONLY'!$E$10:$E$172,'PCA Cost Tables - READ ONLY'!$L$10:$L$172,"BLANK",0)</f>
        <v>13.747</v>
      </c>
      <c r="AL146" s="477" t="str">
        <f>IF($AE146="SF",IF($AF146="X",'Base Information Sheet'!$B$23*'Physical Condition Assessment'!$E146*'Physical Condition Assessment'!$AJ146,"-"))</f>
        <v>-</v>
      </c>
      <c r="AM146" s="477">
        <f>IF($AE146="SF",IF($AG146="X",'Base Information Sheet'!$B$23*'Physical Condition Assessment'!$E146*'Physical Condition Assessment'!$AK146,"-"))</f>
        <v>0</v>
      </c>
      <c r="AN146" s="477" t="b">
        <f>IF($AE146="Unit",IF($AF146="X",'Physical Condition Assessment'!$E146*'Physical Condition Assessment'!$AJ146,"-"))</f>
        <v>0</v>
      </c>
      <c r="AO146" s="477" t="b">
        <f>IF($AE146="Unit",IF($AG146="X",'Physical Condition Assessment'!$E146*'Physical Condition Assessment'!$AK146,"-"))</f>
        <v>0</v>
      </c>
      <c r="AP146" s="477">
        <f t="shared" si="4"/>
        <v>0</v>
      </c>
      <c r="AQ146" s="478" t="e">
        <f t="shared" si="5"/>
        <v>#DIV/0!</v>
      </c>
      <c r="AR146" s="735"/>
      <c r="AS146" s="735">
        <v>75</v>
      </c>
      <c r="AT146" s="737">
        <f ca="1">IF($AR146&gt;0,$C$5-$AR146,$C$5-'Base Information Sheet'!$B$15)</f>
        <v>2026</v>
      </c>
      <c r="AU146" s="737">
        <f>IF($AR146&gt;0,$AR146+$AS146,'Base Information Sheet'!$B$15+'Physical Condition Assessment'!$AS146)</f>
        <v>75</v>
      </c>
      <c r="AV146" s="738">
        <f ca="1">IF($N146="x",0,IF($AU146&lt;=$C$5,'Physical Condition Assessment'!$AP146,0))</f>
        <v>0</v>
      </c>
      <c r="AW146" s="738">
        <f ca="1">IF(AV146&gt;0,0,IF($N146="x",0,IF(($AU146-6)&lt;$C$5,'Physical Condition Assessment'!$AP146,0)))</f>
        <v>0</v>
      </c>
      <c r="AX146" s="738">
        <f ca="1">IF(SUM(AV146:AW146)&gt;0,0,IF($N146="x",0,IF(($AU146-11)&lt;$C$5,'Physical Condition Assessment'!$AP146,0)))</f>
        <v>0</v>
      </c>
      <c r="AY146" s="738">
        <f ca="1">IF(SUM(AV146:AX146)&gt;0,0,IF($N146="x",0,IF(($AU146-16)&lt;$C$5,'Physical Condition Assessment'!$AP146,0)))</f>
        <v>0</v>
      </c>
    </row>
    <row r="147" spans="1:51" ht="16" thickBot="1" x14ac:dyDescent="0.25">
      <c r="A147" s="755" t="s">
        <v>321</v>
      </c>
      <c r="B147" s="756" t="s">
        <v>340</v>
      </c>
      <c r="C147" s="502" t="s">
        <v>343</v>
      </c>
      <c r="D147" s="773"/>
      <c r="E147" s="728"/>
      <c r="F147" s="729"/>
      <c r="G147" s="537" t="s">
        <v>41</v>
      </c>
      <c r="H147" s="732"/>
      <c r="I147" s="537" t="s">
        <v>42</v>
      </c>
      <c r="J147" s="5"/>
      <c r="K147" s="537" t="s">
        <v>43</v>
      </c>
      <c r="L147" s="5"/>
      <c r="M147" s="537" t="s">
        <v>44</v>
      </c>
      <c r="N147" s="732"/>
      <c r="O147" s="537" t="s">
        <v>52</v>
      </c>
      <c r="P147" s="2"/>
      <c r="Q147" s="3" t="s">
        <v>52</v>
      </c>
      <c r="R147" s="783"/>
      <c r="S147" s="784">
        <f>'Base Information Sheet'!$B$23*'Physical Condition Assessment'!E147*'PCA Cost Tables - READ ONLY'!P148*'Physical Condition Assessment'!R147*'Base Information Sheet'!$B$38*'Base Information Sheet'!$B$37</f>
        <v>0</v>
      </c>
      <c r="T147" s="786"/>
      <c r="U147" t="s">
        <v>344</v>
      </c>
      <c r="V147" s="502" t="s">
        <v>326</v>
      </c>
      <c r="AE147" s="475" t="s">
        <v>71</v>
      </c>
      <c r="AF147" s="475"/>
      <c r="AG147" s="475" t="s">
        <v>72</v>
      </c>
      <c r="AH147" s="476">
        <f>_xlfn.XLOOKUP($U147,'PCA Cost Tables - READ ONLY'!$E$10:$E$172,'PCA Cost Tables - READ ONLY'!$F$10:$F$172,"BLANK",0)</f>
        <v>13.098000000000001</v>
      </c>
      <c r="AI147" s="476">
        <f>_xlfn.XLOOKUP($U147,'PCA Cost Tables - READ ONLY'!$E$10:$E$172,'PCA Cost Tables - READ ONLY'!$H$10:$H$172,"BLANK",0)</f>
        <v>0</v>
      </c>
      <c r="AJ147" s="476">
        <f>_xlfn.XLOOKUP($U147,'PCA Cost Tables - READ ONLY'!$E$10:$E$172,'PCA Cost Tables - READ ONLY'!$J$10:$J$172,"BLANK",0)</f>
        <v>0</v>
      </c>
      <c r="AK147" s="476">
        <f>_xlfn.XLOOKUP($U147,'PCA Cost Tables - READ ONLY'!$E$10:$E$172,'PCA Cost Tables - READ ONLY'!$L$10:$L$172,"BLANK",0)</f>
        <v>31.435199999999998</v>
      </c>
      <c r="AL147" s="477" t="str">
        <f>IF($AE147="SF",IF($AF147="X",'Base Information Sheet'!$B$23*'Physical Condition Assessment'!$E147*'Physical Condition Assessment'!$AJ147,"-"))</f>
        <v>-</v>
      </c>
      <c r="AM147" s="477">
        <f>IF($AE147="SF",IF($AG147="X",'Base Information Sheet'!$B$23*'Physical Condition Assessment'!$E147*'Physical Condition Assessment'!$AK147,"-"))</f>
        <v>0</v>
      </c>
      <c r="AN147" s="477" t="b">
        <f>IF($AE147="Unit",IF($AF147="X",'Physical Condition Assessment'!$E147*'Physical Condition Assessment'!$AJ147,"-"))</f>
        <v>0</v>
      </c>
      <c r="AO147" s="477" t="b">
        <f>IF($AE147="Unit",IF($AG147="X",'Physical Condition Assessment'!$E147*'Physical Condition Assessment'!$AK147,"-"))</f>
        <v>0</v>
      </c>
      <c r="AP147" s="477">
        <f t="shared" si="4"/>
        <v>0</v>
      </c>
      <c r="AQ147" s="478" t="e">
        <f t="shared" si="5"/>
        <v>#DIV/0!</v>
      </c>
      <c r="AR147" s="735"/>
      <c r="AS147" s="735">
        <v>50</v>
      </c>
      <c r="AT147" s="737">
        <f ca="1">IF($AR147&gt;0,$C$5-$AR147,$C$5-'Base Information Sheet'!$B$15)</f>
        <v>2026</v>
      </c>
      <c r="AU147" s="737">
        <f>IF($AR147&gt;0,$AR147+$AS147,'Base Information Sheet'!$B$15+'Physical Condition Assessment'!$AS147)</f>
        <v>50</v>
      </c>
      <c r="AV147" s="738">
        <f ca="1">IF($N147="x",0,IF($AU147&lt;=$C$5,'Physical Condition Assessment'!$AP147,0))</f>
        <v>0</v>
      </c>
      <c r="AW147" s="738">
        <f ca="1">IF(AV147&gt;0,0,IF($N147="x",0,IF(($AU147-6)&lt;$C$5,'Physical Condition Assessment'!$AP147,0)))</f>
        <v>0</v>
      </c>
      <c r="AX147" s="738">
        <f ca="1">IF(SUM(AV147:AW147)&gt;0,0,IF($N147="x",0,IF(($AU147-11)&lt;$C$5,'Physical Condition Assessment'!$AP147,0)))</f>
        <v>0</v>
      </c>
      <c r="AY147" s="738">
        <f ca="1">IF(SUM(AV147:AX147)&gt;0,0,IF($N147="x",0,IF(($AU147-16)&lt;$C$5,'Physical Condition Assessment'!$AP147,0)))</f>
        <v>0</v>
      </c>
    </row>
    <row r="148" spans="1:51" ht="14.25" hidden="1" customHeight="1" x14ac:dyDescent="0.2">
      <c r="A148" s="14" t="s">
        <v>345</v>
      </c>
      <c r="B148" s="18"/>
      <c r="C148" s="15"/>
      <c r="D148" s="15"/>
      <c r="E148" s="27"/>
      <c r="F148" s="16"/>
      <c r="G148" s="17"/>
      <c r="H148" s="16"/>
      <c r="I148" s="17"/>
      <c r="J148" s="16"/>
      <c r="K148" s="17"/>
      <c r="L148" s="16"/>
      <c r="M148" s="17"/>
      <c r="N148" s="16"/>
      <c r="O148" s="17"/>
      <c r="P148" s="16"/>
      <c r="Q148" s="17"/>
      <c r="R148" s="798"/>
      <c r="S148" s="799"/>
      <c r="T148" s="800"/>
      <c r="U148" s="15"/>
      <c r="AE148" s="479"/>
      <c r="AF148" s="480"/>
      <c r="AG148" s="480"/>
      <c r="AH148" s="480"/>
      <c r="AI148" s="480"/>
      <c r="AJ148" s="481"/>
      <c r="AK148" s="481"/>
      <c r="AL148" s="480"/>
      <c r="AM148" s="480"/>
      <c r="AN148" s="480"/>
      <c r="AO148" s="480"/>
      <c r="AP148" s="482"/>
      <c r="AQ148" s="482"/>
      <c r="AR148" s="705"/>
      <c r="AS148" s="705"/>
      <c r="AT148" s="483"/>
      <c r="AU148" s="482"/>
      <c r="AV148" s="482"/>
      <c r="AW148" s="482"/>
      <c r="AX148" s="482"/>
      <c r="AY148" s="484"/>
    </row>
    <row r="149" spans="1:51" x14ac:dyDescent="0.2">
      <c r="A149" s="757" t="s">
        <v>346</v>
      </c>
      <c r="B149" s="95"/>
      <c r="C149" s="95"/>
      <c r="D149" s="95"/>
      <c r="E149" s="95"/>
      <c r="F149" s="758"/>
      <c r="G149" s="759"/>
      <c r="H149" s="758"/>
      <c r="I149" s="759"/>
      <c r="J149" s="758"/>
      <c r="K149" s="759"/>
      <c r="L149" s="758"/>
      <c r="M149" s="759"/>
      <c r="N149" s="758"/>
      <c r="O149" s="759"/>
      <c r="P149" s="758"/>
      <c r="Q149" s="759"/>
      <c r="R149" s="795"/>
      <c r="S149" s="795"/>
      <c r="T149" s="793"/>
      <c r="U149" s="15"/>
      <c r="AE149" s="496"/>
      <c r="AF149" s="497"/>
      <c r="AG149" s="497"/>
      <c r="AH149" s="497"/>
      <c r="AI149" s="497"/>
      <c r="AJ149" s="498"/>
      <c r="AK149" s="498"/>
      <c r="AL149" s="497"/>
      <c r="AM149" s="497"/>
      <c r="AN149" s="497"/>
      <c r="AO149" s="497"/>
      <c r="AP149" s="499"/>
      <c r="AQ149" s="499"/>
      <c r="AR149" s="751"/>
      <c r="AS149" s="751"/>
      <c r="AT149" s="752"/>
      <c r="AU149" s="753"/>
      <c r="AV149" s="753"/>
      <c r="AW149" s="753"/>
      <c r="AX149" s="753"/>
      <c r="AY149" s="754"/>
    </row>
    <row r="150" spans="1:51" ht="14.25" hidden="1" customHeight="1" x14ac:dyDescent="0.2">
      <c r="A150" s="544"/>
      <c r="B150" s="7" t="s">
        <v>347</v>
      </c>
      <c r="C150" t="s">
        <v>343</v>
      </c>
      <c r="D150" t="s">
        <v>78</v>
      </c>
      <c r="E150" s="28"/>
      <c r="F150" s="1"/>
      <c r="G150" s="3"/>
      <c r="H150" s="1"/>
      <c r="I150" s="3"/>
      <c r="J150" s="1"/>
      <c r="K150" s="3"/>
      <c r="L150" s="1"/>
      <c r="M150" s="3"/>
      <c r="N150" s="1"/>
      <c r="O150" s="3"/>
      <c r="P150" s="1"/>
      <c r="Q150" s="3"/>
      <c r="R150" s="801"/>
      <c r="S150" s="365"/>
      <c r="T150" s="607"/>
      <c r="U150"/>
      <c r="AE150" s="496"/>
      <c r="AF150" s="497"/>
      <c r="AG150" s="497"/>
      <c r="AH150" s="497"/>
      <c r="AI150" s="497"/>
      <c r="AJ150" s="498"/>
      <c r="AK150" s="498"/>
      <c r="AL150" s="497"/>
      <c r="AM150" s="497"/>
      <c r="AN150" s="497"/>
      <c r="AO150" s="497"/>
      <c r="AP150" s="499"/>
      <c r="AQ150" s="499"/>
      <c r="AR150" s="751"/>
      <c r="AS150" s="751"/>
      <c r="AT150" s="752"/>
      <c r="AU150" s="753"/>
      <c r="AV150" s="753"/>
      <c r="AW150" s="753"/>
      <c r="AX150" s="753"/>
      <c r="AY150" s="754"/>
    </row>
    <row r="151" spans="1:51" ht="16" thickBot="1" x14ac:dyDescent="0.25">
      <c r="A151" s="618"/>
      <c r="B151" s="767" t="s">
        <v>348</v>
      </c>
      <c r="D151" s="618"/>
      <c r="E151" s="776"/>
      <c r="F151" s="777"/>
      <c r="H151" s="777"/>
      <c r="J151" s="777"/>
      <c r="L151" s="777"/>
      <c r="N151" s="777"/>
      <c r="P151" s="777"/>
      <c r="R151" s="802"/>
      <c r="S151" s="803"/>
      <c r="T151" s="804"/>
      <c r="U151"/>
      <c r="AE151" s="485"/>
      <c r="AF151" s="486"/>
      <c r="AG151" s="486"/>
      <c r="AH151" s="486"/>
      <c r="AI151" s="486"/>
      <c r="AJ151" s="487"/>
      <c r="AK151" s="487"/>
      <c r="AL151" s="486"/>
      <c r="AM151" s="486"/>
      <c r="AN151" s="486"/>
      <c r="AO151" s="486"/>
      <c r="AP151" s="488"/>
      <c r="AQ151" s="488"/>
      <c r="AR151" s="743"/>
      <c r="AS151" s="743"/>
      <c r="AT151" s="744"/>
      <c r="AU151" s="745"/>
      <c r="AV151" s="745"/>
      <c r="AW151" s="745"/>
      <c r="AX151" s="745"/>
      <c r="AY151" s="746"/>
    </row>
    <row r="152" spans="1:51" ht="16" thickBot="1" x14ac:dyDescent="0.25">
      <c r="A152" s="618" t="s">
        <v>346</v>
      </c>
      <c r="B152" s="756" t="s">
        <v>348</v>
      </c>
      <c r="C152" s="502" t="s">
        <v>349</v>
      </c>
      <c r="D152" s="774"/>
      <c r="E152" s="730"/>
      <c r="F152" s="729"/>
      <c r="G152" s="537" t="s">
        <v>41</v>
      </c>
      <c r="H152" s="732"/>
      <c r="I152" s="537" t="s">
        <v>42</v>
      </c>
      <c r="J152" s="732"/>
      <c r="K152" s="537" t="s">
        <v>43</v>
      </c>
      <c r="L152" s="732"/>
      <c r="M152" s="537" t="s">
        <v>44</v>
      </c>
      <c r="N152" s="732"/>
      <c r="O152" s="537" t="s">
        <v>52</v>
      </c>
      <c r="P152" s="2"/>
      <c r="Q152" s="3" t="s">
        <v>52</v>
      </c>
      <c r="R152" s="783"/>
      <c r="S152" s="784">
        <f>'Physical Condition Assessment'!E152*'PCA Cost Tables - READ ONLY'!P154*'Physical Condition Assessment'!R152*'Base Information Sheet'!$B$38*'Base Information Sheet'!$B$37</f>
        <v>0</v>
      </c>
      <c r="T152" s="786"/>
      <c r="U152" t="s">
        <v>350</v>
      </c>
      <c r="V152" s="502" t="s">
        <v>351</v>
      </c>
      <c r="AE152" s="475" t="s">
        <v>51</v>
      </c>
      <c r="AF152" s="475"/>
      <c r="AG152" s="475" t="s">
        <v>72</v>
      </c>
      <c r="AH152" s="476">
        <f>_xlfn.XLOOKUP($U152,'PCA Cost Tables - READ ONLY'!$E$10:$E$172,'PCA Cost Tables - READ ONLY'!$F$10:$F$172,"BLANK",0)</f>
        <v>2.0563860000000003</v>
      </c>
      <c r="AI152" s="476">
        <f>_xlfn.XLOOKUP($U152,'PCA Cost Tables - READ ONLY'!$E$10:$E$172,'PCA Cost Tables - READ ONLY'!$H$10:$H$172,"BLANK",0)</f>
        <v>5.2392000000000003</v>
      </c>
      <c r="AJ152" s="476">
        <f>_xlfn.XLOOKUP($U152,'PCA Cost Tables - READ ONLY'!$E$10:$E$172,'PCA Cost Tables - READ ONLY'!$J$10:$J$172,"BLANK",0)</f>
        <v>8.5137</v>
      </c>
      <c r="AK152" s="476">
        <f>_xlfn.XLOOKUP($U152,'PCA Cost Tables - READ ONLY'!$E$10:$E$172,'PCA Cost Tables - READ ONLY'!$L$10:$L$172,"BLANK",0)</f>
        <v>10.478400000000001</v>
      </c>
      <c r="AL152" s="477" t="b">
        <f>IF($AE152="SF",IF($AF152="X",'Base Information Sheet'!$B$23*'Physical Condition Assessment'!$E152*'Physical Condition Assessment'!$AJ152,"-"))</f>
        <v>0</v>
      </c>
      <c r="AM152" s="477" t="b">
        <f>IF($AE152="SF",IF($AG152="X",'Base Information Sheet'!$B$23*'Physical Condition Assessment'!$E152*'Physical Condition Assessment'!$AK152,"-"))</f>
        <v>0</v>
      </c>
      <c r="AN152" s="477" t="str">
        <f>IF($AE152="Unit",IF($AF152="X",'Physical Condition Assessment'!$E152*'Physical Condition Assessment'!$AJ152,"-"))</f>
        <v>-</v>
      </c>
      <c r="AO152" s="477">
        <f>IF($AE152="Unit",IF($AG152="X",'Physical Condition Assessment'!$E152*'Physical Condition Assessment'!$AK152,"-"))</f>
        <v>0</v>
      </c>
      <c r="AP152" s="477">
        <f t="shared" si="4"/>
        <v>0</v>
      </c>
      <c r="AQ152" s="478" t="e">
        <f t="shared" si="5"/>
        <v>#DIV/0!</v>
      </c>
      <c r="AR152" s="735"/>
      <c r="AS152" s="735">
        <v>20</v>
      </c>
      <c r="AT152" s="737">
        <f ca="1">IF($AR152&gt;0,$C$5-$AR152,$C$5-'Base Information Sheet'!$B$15)</f>
        <v>2026</v>
      </c>
      <c r="AU152" s="737">
        <f>IF($AR152&gt;0,$AR152+$AS152,'Base Information Sheet'!$B$15+'Physical Condition Assessment'!$AS152)</f>
        <v>20</v>
      </c>
      <c r="AV152" s="738">
        <f ca="1">IF($N152="x",0,IF($AU152&lt;=$C$5,'Physical Condition Assessment'!$AP152,0))</f>
        <v>0</v>
      </c>
      <c r="AW152" s="738">
        <f ca="1">IF(AV152&gt;0,0,IF($N152="x",0,IF(($AU152-6)&lt;$C$5,'Physical Condition Assessment'!$AP152,0)))</f>
        <v>0</v>
      </c>
      <c r="AX152" s="738">
        <f ca="1">IF(SUM(AV152:AW152)&gt;0,0,IF($N152="x",0,IF(($AU152-11)&lt;$C$5,'Physical Condition Assessment'!$AP152,0)))</f>
        <v>0</v>
      </c>
      <c r="AY152" s="738">
        <f ca="1">IF(SUM(AV152:AX152)&gt;0,0,IF($N152="x",0,IF(($AU152-16)&lt;$C$5,'Physical Condition Assessment'!$AP152,0)))</f>
        <v>0</v>
      </c>
    </row>
    <row r="153" spans="1:51" ht="16" thickBot="1" x14ac:dyDescent="0.25">
      <c r="A153" s="618" t="s">
        <v>346</v>
      </c>
      <c r="B153" s="756" t="s">
        <v>348</v>
      </c>
      <c r="C153" s="502" t="s">
        <v>352</v>
      </c>
      <c r="D153" s="774"/>
      <c r="E153" s="730"/>
      <c r="F153" s="729"/>
      <c r="G153" s="537" t="s">
        <v>41</v>
      </c>
      <c r="H153" s="732"/>
      <c r="I153" s="537" t="s">
        <v>42</v>
      </c>
      <c r="J153" s="732"/>
      <c r="K153" s="537" t="s">
        <v>43</v>
      </c>
      <c r="L153" s="732"/>
      <c r="M153" s="537" t="s">
        <v>44</v>
      </c>
      <c r="N153" s="732"/>
      <c r="O153" s="537" t="s">
        <v>52</v>
      </c>
      <c r="P153" s="2"/>
      <c r="Q153" s="3" t="s">
        <v>52</v>
      </c>
      <c r="R153" s="783"/>
      <c r="S153" s="784">
        <f>'Physical Condition Assessment'!E153*'PCA Cost Tables - READ ONLY'!P155*'Physical Condition Assessment'!R153*'Base Information Sheet'!$B$38*'Base Information Sheet'!$B$37</f>
        <v>0</v>
      </c>
      <c r="T153" s="786"/>
      <c r="U153" t="s">
        <v>353</v>
      </c>
      <c r="V153" s="502" t="s">
        <v>351</v>
      </c>
      <c r="AE153" s="475" t="s">
        <v>51</v>
      </c>
      <c r="AF153" s="475"/>
      <c r="AG153" s="475" t="s">
        <v>72</v>
      </c>
      <c r="AH153" s="476">
        <f>_xlfn.XLOOKUP($U153,'PCA Cost Tables - READ ONLY'!$E$10:$E$172,'PCA Cost Tables - READ ONLY'!$F$10:$F$172,"BLANK",0)</f>
        <v>2.0563860000000003</v>
      </c>
      <c r="AI153" s="476">
        <f>_xlfn.XLOOKUP($U153,'PCA Cost Tables - READ ONLY'!$E$10:$E$172,'PCA Cost Tables - READ ONLY'!$H$10:$H$172,"BLANK",0)</f>
        <v>5.2392000000000003</v>
      </c>
      <c r="AJ153" s="476">
        <f>_xlfn.XLOOKUP($U153,'PCA Cost Tables - READ ONLY'!$E$10:$E$172,'PCA Cost Tables - READ ONLY'!$J$10:$J$172,"BLANK",0)</f>
        <v>8.5137</v>
      </c>
      <c r="AK153" s="476">
        <f>_xlfn.XLOOKUP($U153,'PCA Cost Tables - READ ONLY'!$E$10:$E$172,'PCA Cost Tables - READ ONLY'!$L$10:$L$172,"BLANK",0)</f>
        <v>10.478400000000001</v>
      </c>
      <c r="AL153" s="477" t="b">
        <f>IF($AE153="SF",IF($AF153="X",'Base Information Sheet'!$B$23*'Physical Condition Assessment'!$E153*'Physical Condition Assessment'!$AJ153,"-"))</f>
        <v>0</v>
      </c>
      <c r="AM153" s="477" t="b">
        <f>IF($AE153="SF",IF($AG153="X",'Base Information Sheet'!$B$23*'Physical Condition Assessment'!$E153*'Physical Condition Assessment'!$AK153,"-"))</f>
        <v>0</v>
      </c>
      <c r="AN153" s="477" t="str">
        <f>IF($AE153="Unit",IF($AF153="X",'Physical Condition Assessment'!$E153*'Physical Condition Assessment'!$AJ153,"-"))</f>
        <v>-</v>
      </c>
      <c r="AO153" s="477">
        <f>IF($AE153="Unit",IF($AG153="X",'Physical Condition Assessment'!$E153*'Physical Condition Assessment'!$AK153,"-"))</f>
        <v>0</v>
      </c>
      <c r="AP153" s="477">
        <f t="shared" si="4"/>
        <v>0</v>
      </c>
      <c r="AQ153" s="478" t="e">
        <f t="shared" si="5"/>
        <v>#DIV/0!</v>
      </c>
      <c r="AR153" s="735"/>
      <c r="AS153" s="735">
        <v>21</v>
      </c>
      <c r="AT153" s="737">
        <f ca="1">IF($AR153&gt;0,$C$5-$AR153,$C$5-'Base Information Sheet'!$B$15)</f>
        <v>2026</v>
      </c>
      <c r="AU153" s="737">
        <f>IF($AR153&gt;0,$AR153+$AS153,'Base Information Sheet'!$B$15+'Physical Condition Assessment'!$AS153)</f>
        <v>21</v>
      </c>
      <c r="AV153" s="738">
        <f ca="1">IF($N153="x",0,IF($AU153&lt;=$C$5,'Physical Condition Assessment'!$AP153,0))</f>
        <v>0</v>
      </c>
      <c r="AW153" s="738">
        <f ca="1">IF(AV153&gt;0,0,IF($N153="x",0,IF(($AU153-6)&lt;$C$5,'Physical Condition Assessment'!$AP153,0)))</f>
        <v>0</v>
      </c>
      <c r="AX153" s="738">
        <f ca="1">IF(SUM(AV153:AW153)&gt;0,0,IF($N153="x",0,IF(($AU153-11)&lt;$C$5,'Physical Condition Assessment'!$AP153,0)))</f>
        <v>0</v>
      </c>
      <c r="AY153" s="738">
        <f ca="1">IF(SUM(AV153:AX153)&gt;0,0,IF($N153="x",0,IF(($AU153-16)&lt;$C$5,'Physical Condition Assessment'!$AP153,0)))</f>
        <v>0</v>
      </c>
    </row>
    <row r="154" spans="1:51" ht="16" thickBot="1" x14ac:dyDescent="0.25">
      <c r="A154" s="618" t="s">
        <v>346</v>
      </c>
      <c r="B154" s="756" t="s">
        <v>348</v>
      </c>
      <c r="C154" s="502" t="s">
        <v>354</v>
      </c>
      <c r="D154" s="775"/>
      <c r="E154" s="730"/>
      <c r="F154" s="729"/>
      <c r="G154" s="537" t="s">
        <v>41</v>
      </c>
      <c r="H154" s="732"/>
      <c r="I154" s="537" t="s">
        <v>42</v>
      </c>
      <c r="J154" s="732"/>
      <c r="K154" s="537" t="s">
        <v>43</v>
      </c>
      <c r="L154" s="732"/>
      <c r="M154" s="537" t="s">
        <v>44</v>
      </c>
      <c r="N154" s="732"/>
      <c r="O154" s="537" t="s">
        <v>52</v>
      </c>
      <c r="P154" s="2"/>
      <c r="Q154" s="3" t="s">
        <v>52</v>
      </c>
      <c r="R154" s="783"/>
      <c r="S154" s="784">
        <f>'Physical Condition Assessment'!E154*'PCA Cost Tables - READ ONLY'!P156*'Physical Condition Assessment'!R154*'Base Information Sheet'!$B$38*'Base Information Sheet'!$B$37</f>
        <v>0</v>
      </c>
      <c r="T154" s="786"/>
      <c r="U154" t="s">
        <v>355</v>
      </c>
      <c r="V154" s="502" t="s">
        <v>351</v>
      </c>
      <c r="AE154" s="475" t="s">
        <v>51</v>
      </c>
      <c r="AF154" s="475"/>
      <c r="AG154" s="475" t="s">
        <v>72</v>
      </c>
      <c r="AH154" s="476">
        <f>_xlfn.XLOOKUP($U154,'PCA Cost Tables - READ ONLY'!$E$10:$E$172,'PCA Cost Tables - READ ONLY'!$F$10:$F$172,"BLANK",0)</f>
        <v>2.6196000000000002</v>
      </c>
      <c r="AI154" s="476">
        <f>_xlfn.XLOOKUP($U154,'PCA Cost Tables - READ ONLY'!$E$10:$E$172,'PCA Cost Tables - READ ONLY'!$H$10:$H$172,"BLANK",0)</f>
        <v>5.8940999999999999</v>
      </c>
      <c r="AJ154" s="476">
        <f>_xlfn.XLOOKUP($U154,'PCA Cost Tables - READ ONLY'!$E$10:$E$172,'PCA Cost Tables - READ ONLY'!$J$10:$J$172,"BLANK",0)</f>
        <v>11.7882</v>
      </c>
      <c r="AK154" s="476">
        <f>_xlfn.XLOOKUP($U154,'PCA Cost Tables - READ ONLY'!$E$10:$E$172,'PCA Cost Tables - READ ONLY'!$L$10:$L$172,"BLANK",0)</f>
        <v>14.4078</v>
      </c>
      <c r="AL154" s="477" t="b">
        <f>IF($AE154="SF",IF($AF154="X",'Base Information Sheet'!$B$23*'Physical Condition Assessment'!$E154*'Physical Condition Assessment'!$AJ154,"-"))</f>
        <v>0</v>
      </c>
      <c r="AM154" s="477" t="b">
        <f>IF($AE154="SF",IF($AG154="X",'Base Information Sheet'!$B$23*'Physical Condition Assessment'!$E154*'Physical Condition Assessment'!$AK154,"-"))</f>
        <v>0</v>
      </c>
      <c r="AN154" s="477" t="str">
        <f>IF($AE154="Unit",IF($AF154="X",'Physical Condition Assessment'!$E154*'Physical Condition Assessment'!$AJ154,"-"))</f>
        <v>-</v>
      </c>
      <c r="AO154" s="477">
        <f>IF($AE154="Unit",IF($AG154="X",'Physical Condition Assessment'!$E154*'Physical Condition Assessment'!$AK154,"-"))</f>
        <v>0</v>
      </c>
      <c r="AP154" s="477">
        <f t="shared" si="4"/>
        <v>0</v>
      </c>
      <c r="AQ154" s="478" t="e">
        <f t="shared" si="5"/>
        <v>#DIV/0!</v>
      </c>
      <c r="AR154" s="735"/>
      <c r="AS154" s="735">
        <v>22</v>
      </c>
      <c r="AT154" s="737">
        <f ca="1">IF($AR154&gt;0,$C$5-$AR154,$C$5-'Base Information Sheet'!$B$15)</f>
        <v>2026</v>
      </c>
      <c r="AU154" s="737">
        <f>IF($AR154&gt;0,$AR154+$AS154,'Base Information Sheet'!$B$15+'Physical Condition Assessment'!$AS154)</f>
        <v>22</v>
      </c>
      <c r="AV154" s="738">
        <f ca="1">IF($N154="x",0,IF($AU154&lt;=$C$5,'Physical Condition Assessment'!$AP154,0))</f>
        <v>0</v>
      </c>
      <c r="AW154" s="738">
        <f ca="1">IF(AV154&gt;0,0,IF($N154="x",0,IF(($AU154-6)&lt;$C$5,'Physical Condition Assessment'!$AP154,0)))</f>
        <v>0</v>
      </c>
      <c r="AX154" s="738">
        <f ca="1">IF(SUM(AV154:AW154)&gt;0,0,IF($N154="x",0,IF(($AU154-11)&lt;$C$5,'Physical Condition Assessment'!$AP154,0)))</f>
        <v>0</v>
      </c>
      <c r="AY154" s="738">
        <f ca="1">IF(SUM(AV154:AX154)&gt;0,0,IF($N154="x",0,IF(($AU154-16)&lt;$C$5,'Physical Condition Assessment'!$AP154,0)))</f>
        <v>0</v>
      </c>
    </row>
    <row r="155" spans="1:51" ht="16" thickBot="1" x14ac:dyDescent="0.25">
      <c r="A155" s="618" t="s">
        <v>346</v>
      </c>
      <c r="B155" s="756" t="s">
        <v>348</v>
      </c>
      <c r="C155" s="502" t="s">
        <v>356</v>
      </c>
      <c r="D155" s="775"/>
      <c r="E155" s="730"/>
      <c r="F155" s="729"/>
      <c r="G155" s="537" t="s">
        <v>41</v>
      </c>
      <c r="H155" s="732"/>
      <c r="I155" s="537" t="s">
        <v>42</v>
      </c>
      <c r="J155" s="732"/>
      <c r="K155" s="537" t="s">
        <v>43</v>
      </c>
      <c r="L155" s="732"/>
      <c r="M155" s="537" t="s">
        <v>44</v>
      </c>
      <c r="N155" s="732"/>
      <c r="O155" s="537" t="s">
        <v>52</v>
      </c>
      <c r="P155" s="2"/>
      <c r="Q155" s="3" t="s">
        <v>52</v>
      </c>
      <c r="R155" s="783"/>
      <c r="S155" s="784">
        <f>'Physical Condition Assessment'!E155*'PCA Cost Tables - READ ONLY'!P157*'Physical Condition Assessment'!R155*'Base Information Sheet'!$B$38*'Base Information Sheet'!$B$37</f>
        <v>0</v>
      </c>
      <c r="T155" s="786"/>
      <c r="U155" t="s">
        <v>357</v>
      </c>
      <c r="V155" s="502" t="s">
        <v>358</v>
      </c>
      <c r="AE155" s="475" t="s">
        <v>51</v>
      </c>
      <c r="AF155" s="475"/>
      <c r="AG155" s="475" t="s">
        <v>72</v>
      </c>
      <c r="AH155" s="476">
        <f>_xlfn.XLOOKUP($U155,'PCA Cost Tables - READ ONLY'!$E$10:$E$172,'PCA Cost Tables - READ ONLY'!$F$10:$F$172,"BLANK",0)</f>
        <v>7.8587999999999996</v>
      </c>
      <c r="AI155" s="476">
        <f>_xlfn.XLOOKUP($U155,'PCA Cost Tables - READ ONLY'!$E$10:$E$172,'PCA Cost Tables - READ ONLY'!$H$10:$H$172,"BLANK",0)</f>
        <v>10.478400000000001</v>
      </c>
      <c r="AJ155" s="476">
        <f>_xlfn.XLOOKUP($U155,'PCA Cost Tables - READ ONLY'!$E$10:$E$172,'PCA Cost Tables - READ ONLY'!$J$10:$J$172,"BLANK",0)</f>
        <v>32.745000000000005</v>
      </c>
      <c r="AK155" s="476">
        <f>_xlfn.XLOOKUP($U155,'PCA Cost Tables - READ ONLY'!$E$10:$E$172,'PCA Cost Tables - READ ONLY'!$L$10:$L$172,"BLANK",0)</f>
        <v>45.842999999999996</v>
      </c>
      <c r="AL155" s="477" t="b">
        <f>IF($AE155="SF",IF($AF155="X",'Base Information Sheet'!$B$23*'Physical Condition Assessment'!$E155*'Physical Condition Assessment'!$AJ155,"-"))</f>
        <v>0</v>
      </c>
      <c r="AM155" s="477" t="b">
        <f>IF($AE155="SF",IF($AG155="X",'Base Information Sheet'!$B$23*'Physical Condition Assessment'!$E155*'Physical Condition Assessment'!$AK155,"-"))</f>
        <v>0</v>
      </c>
      <c r="AN155" s="477" t="str">
        <f>IF($AE155="Unit",IF($AF155="X",'Physical Condition Assessment'!$E155*'Physical Condition Assessment'!$AJ155,"-"))</f>
        <v>-</v>
      </c>
      <c r="AO155" s="477">
        <f>IF($AE155="Unit",IF($AG155="X",'Physical Condition Assessment'!$E155*'Physical Condition Assessment'!$AK155,"-"))</f>
        <v>0</v>
      </c>
      <c r="AP155" s="477">
        <f t="shared" si="4"/>
        <v>0</v>
      </c>
      <c r="AQ155" s="478" t="e">
        <f t="shared" si="5"/>
        <v>#DIV/0!</v>
      </c>
      <c r="AR155" s="735"/>
      <c r="AS155" s="735">
        <v>23</v>
      </c>
      <c r="AT155" s="737">
        <f ca="1">IF($AR155&gt;0,$C$5-$AR155,$C$5-'Base Information Sheet'!$B$15)</f>
        <v>2026</v>
      </c>
      <c r="AU155" s="737">
        <f>IF($AR155&gt;0,$AR155+$AS155,'Base Information Sheet'!$B$15+'Physical Condition Assessment'!$AS155)</f>
        <v>23</v>
      </c>
      <c r="AV155" s="738">
        <f ca="1">IF($N155="x",0,IF($AU155&lt;=$C$5,'Physical Condition Assessment'!$AP155,0))</f>
        <v>0</v>
      </c>
      <c r="AW155" s="738">
        <f ca="1">IF(AV155&gt;0,0,IF($N155="x",0,IF(($AU155-6)&lt;$C$5,'Physical Condition Assessment'!$AP155,0)))</f>
        <v>0</v>
      </c>
      <c r="AX155" s="738">
        <f ca="1">IF(SUM(AV155:AW155)&gt;0,0,IF($N155="x",0,IF(($AU155-11)&lt;$C$5,'Physical Condition Assessment'!$AP155,0)))</f>
        <v>0</v>
      </c>
      <c r="AY155" s="738">
        <f ca="1">IF(SUM(AV155:AX155)&gt;0,0,IF($N155="x",0,IF(($AU155-16)&lt;$C$5,'Physical Condition Assessment'!$AP155,0)))</f>
        <v>0</v>
      </c>
    </row>
    <row r="156" spans="1:51" ht="16" thickBot="1" x14ac:dyDescent="0.25">
      <c r="A156" s="618" t="s">
        <v>346</v>
      </c>
      <c r="B156" s="618" t="s">
        <v>348</v>
      </c>
      <c r="C156" s="502" t="s">
        <v>359</v>
      </c>
      <c r="D156" s="775"/>
      <c r="E156" s="730"/>
      <c r="F156" s="729"/>
      <c r="G156" s="537" t="s">
        <v>41</v>
      </c>
      <c r="H156" s="732"/>
      <c r="I156" s="537" t="s">
        <v>42</v>
      </c>
      <c r="J156" s="732"/>
      <c r="K156" s="537" t="s">
        <v>43</v>
      </c>
      <c r="L156" s="732"/>
      <c r="M156" s="537" t="s">
        <v>44</v>
      </c>
      <c r="N156" s="732"/>
      <c r="O156" s="537" t="s">
        <v>52</v>
      </c>
      <c r="P156" s="2"/>
      <c r="Q156" s="3" t="s">
        <v>52</v>
      </c>
      <c r="R156" s="783"/>
      <c r="S156" s="784">
        <f>'Physical Condition Assessment'!E156*'PCA Cost Tables - READ ONLY'!P158*'Physical Condition Assessment'!R156*'Base Information Sheet'!$B$38*'Base Information Sheet'!$B$37</f>
        <v>0</v>
      </c>
      <c r="T156" s="786"/>
      <c r="U156" t="s">
        <v>360</v>
      </c>
      <c r="V156" s="502" t="s">
        <v>358</v>
      </c>
      <c r="AE156" s="475" t="s">
        <v>51</v>
      </c>
      <c r="AF156" s="475"/>
      <c r="AG156" s="475" t="s">
        <v>72</v>
      </c>
      <c r="AH156" s="476">
        <f>_xlfn.XLOOKUP($U156,'PCA Cost Tables - READ ONLY'!$E$10:$E$172,'PCA Cost Tables - READ ONLY'!$F$10:$F$172,"BLANK",0)</f>
        <v>2.6196000000000002</v>
      </c>
      <c r="AI156" s="476">
        <f>_xlfn.XLOOKUP($U156,'PCA Cost Tables - READ ONLY'!$E$10:$E$172,'PCA Cost Tables - READ ONLY'!$H$10:$H$172,"BLANK",0)</f>
        <v>2.8815600000000008</v>
      </c>
      <c r="AJ156" s="476">
        <f>_xlfn.XLOOKUP($U156,'PCA Cost Tables - READ ONLY'!$E$10:$E$172,'PCA Cost Tables - READ ONLY'!$J$10:$J$172,"BLANK",0)</f>
        <v>3.0125399999999996</v>
      </c>
      <c r="AK156" s="476">
        <f>_xlfn.XLOOKUP($U156,'PCA Cost Tables - READ ONLY'!$E$10:$E$172,'PCA Cost Tables - READ ONLY'!$L$10:$L$172,"BLANK",0)</f>
        <v>3.2745000000000002</v>
      </c>
      <c r="AL156" s="477" t="b">
        <f>IF($AE156="SF",IF($AF156="X",'Base Information Sheet'!$B$23*'Physical Condition Assessment'!$E156*'Physical Condition Assessment'!$AJ156,"-"))</f>
        <v>0</v>
      </c>
      <c r="AM156" s="477" t="b">
        <f>IF($AE156="SF",IF($AG156="X",'Base Information Sheet'!$B$23*'Physical Condition Assessment'!$E156*'Physical Condition Assessment'!$AK156,"-"))</f>
        <v>0</v>
      </c>
      <c r="AN156" s="477" t="str">
        <f>IF($AE156="Unit",IF($AF156="X",'Physical Condition Assessment'!$E156*'Physical Condition Assessment'!$AJ156,"-"))</f>
        <v>-</v>
      </c>
      <c r="AO156" s="477">
        <f>IF($AE156="Unit",IF($AG156="X",'Physical Condition Assessment'!$E156*'Physical Condition Assessment'!$AK156,"-"))</f>
        <v>0</v>
      </c>
      <c r="AP156" s="477">
        <f t="shared" si="4"/>
        <v>0</v>
      </c>
      <c r="AQ156" s="478" t="e">
        <f t="shared" si="5"/>
        <v>#DIV/0!</v>
      </c>
      <c r="AR156" s="735"/>
      <c r="AS156" s="735">
        <v>24</v>
      </c>
      <c r="AT156" s="737">
        <f ca="1">IF($AR156&gt;0,$C$5-$AR156,$C$5-'Base Information Sheet'!$B$15)</f>
        <v>2026</v>
      </c>
      <c r="AU156" s="737">
        <f>IF($AR156&gt;0,$AR156+$AS156,'Base Information Sheet'!$B$15+'Physical Condition Assessment'!$AS156)</f>
        <v>24</v>
      </c>
      <c r="AV156" s="738">
        <f ca="1">IF($N156="x",0,IF($AU156&lt;=$C$5,'Physical Condition Assessment'!$AP156,0))</f>
        <v>0</v>
      </c>
      <c r="AW156" s="738">
        <f ca="1">IF(AV156&gt;0,0,IF($N156="x",0,IF(($AU156-6)&lt;$C$5,'Physical Condition Assessment'!$AP156,0)))</f>
        <v>0</v>
      </c>
      <c r="AX156" s="738">
        <f ca="1">IF(SUM(AV156:AW156)&gt;0,0,IF($N156="x",0,IF(($AU156-11)&lt;$C$5,'Physical Condition Assessment'!$AP156,0)))</f>
        <v>0</v>
      </c>
      <c r="AY156" s="738">
        <f ca="1">IF(SUM(AV156:AX156)&gt;0,0,IF($N156="x",0,IF(($AU156-16)&lt;$C$5,'Physical Condition Assessment'!$AP156,0)))</f>
        <v>0</v>
      </c>
    </row>
    <row r="157" spans="1:51" ht="16" thickBot="1" x14ac:dyDescent="0.25">
      <c r="A157" s="618"/>
      <c r="B157" s="502" t="s">
        <v>361</v>
      </c>
      <c r="E157" s="709"/>
      <c r="R157" s="503"/>
      <c r="S157" s="503"/>
      <c r="T157" s="788"/>
      <c r="U157"/>
      <c r="AE157" s="491"/>
      <c r="AF157" s="492"/>
      <c r="AG157" s="492"/>
      <c r="AH157" s="492"/>
      <c r="AI157" s="492"/>
      <c r="AJ157" s="493"/>
      <c r="AK157" s="493"/>
      <c r="AL157" s="492"/>
      <c r="AM157" s="492"/>
      <c r="AN157" s="492"/>
      <c r="AO157" s="492"/>
      <c r="AP157" s="494"/>
      <c r="AQ157" s="494"/>
      <c r="AR157" s="747"/>
      <c r="AS157" s="747"/>
      <c r="AT157" s="748"/>
      <c r="AU157" s="749"/>
      <c r="AV157" s="749"/>
      <c r="AW157" s="749"/>
      <c r="AX157" s="749"/>
      <c r="AY157" s="750"/>
    </row>
    <row r="158" spans="1:51" ht="16" thickBot="1" x14ac:dyDescent="0.25">
      <c r="A158" s="618" t="s">
        <v>346</v>
      </c>
      <c r="B158" s="618" t="s">
        <v>361</v>
      </c>
      <c r="C158" s="502" t="s">
        <v>362</v>
      </c>
      <c r="D158" s="502" t="s">
        <v>363</v>
      </c>
      <c r="E158" s="730"/>
      <c r="F158" s="729"/>
      <c r="G158" s="537" t="s">
        <v>41</v>
      </c>
      <c r="H158" s="5"/>
      <c r="I158" s="537" t="s">
        <v>42</v>
      </c>
      <c r="J158" s="5"/>
      <c r="K158" s="537" t="s">
        <v>43</v>
      </c>
      <c r="L158" s="5"/>
      <c r="M158" s="537" t="s">
        <v>44</v>
      </c>
      <c r="N158" s="732"/>
      <c r="O158" s="537" t="s">
        <v>52</v>
      </c>
      <c r="P158" s="2"/>
      <c r="Q158" s="3" t="s">
        <v>52</v>
      </c>
      <c r="R158" s="783"/>
      <c r="S158" s="784">
        <f>'Physical Condition Assessment'!E158*'PCA Cost Tables - READ ONLY'!P160*'Physical Condition Assessment'!R158*'Base Information Sheet'!$B$38*'Base Information Sheet'!$B$37</f>
        <v>0</v>
      </c>
      <c r="T158" s="786"/>
      <c r="U158" t="s">
        <v>364</v>
      </c>
      <c r="V158" s="502" t="s">
        <v>240</v>
      </c>
      <c r="AE158" s="475" t="s">
        <v>51</v>
      </c>
      <c r="AF158" s="475"/>
      <c r="AG158" s="475" t="s">
        <v>72</v>
      </c>
      <c r="AH158" s="476">
        <f>_xlfn.XLOOKUP($U158,'PCA Cost Tables - READ ONLY'!$E$10:$E$172,'PCA Cost Tables - READ ONLY'!$F$10:$F$172,"BLANK",0)</f>
        <v>0</v>
      </c>
      <c r="AI158" s="476">
        <f>_xlfn.XLOOKUP($U158,'PCA Cost Tables - READ ONLY'!$E$10:$E$172,'PCA Cost Tables - READ ONLY'!$H$10:$H$172,"BLANK",0)</f>
        <v>0</v>
      </c>
      <c r="AJ158" s="476">
        <f>_xlfn.XLOOKUP($U158,'PCA Cost Tables - READ ONLY'!$E$10:$E$172,'PCA Cost Tables - READ ONLY'!$J$10:$J$172,"BLANK",0)</f>
        <v>0</v>
      </c>
      <c r="AK158" s="476">
        <f>_xlfn.XLOOKUP($U158,'PCA Cost Tables - READ ONLY'!$E$10:$E$172,'PCA Cost Tables - READ ONLY'!$L$10:$L$172,"BLANK",0)</f>
        <v>92.806999999999988</v>
      </c>
      <c r="AL158" s="477" t="b">
        <f>IF($AE158="SF",IF($AF158="X",'Base Information Sheet'!$B$23*'Physical Condition Assessment'!$E158*'Physical Condition Assessment'!$AJ158,"-"))</f>
        <v>0</v>
      </c>
      <c r="AM158" s="477" t="b">
        <f>IF($AE158="SF",IF($AG158="X",'Base Information Sheet'!$B$23*'Physical Condition Assessment'!$E158*'Physical Condition Assessment'!$AK158,"-"))</f>
        <v>0</v>
      </c>
      <c r="AN158" s="477" t="str">
        <f>IF($AE158="Unit",IF($AF158="X",'Physical Condition Assessment'!$E158*'Physical Condition Assessment'!$AJ158,"-"))</f>
        <v>-</v>
      </c>
      <c r="AO158" s="477">
        <f>IF($AE158="Unit",IF($AG158="X",'Physical Condition Assessment'!$E158*'Physical Condition Assessment'!$AK158,"-"))</f>
        <v>0</v>
      </c>
      <c r="AP158" s="477">
        <f t="shared" si="4"/>
        <v>0</v>
      </c>
      <c r="AQ158" s="478" t="e">
        <f t="shared" si="5"/>
        <v>#DIV/0!</v>
      </c>
      <c r="AR158" s="735"/>
      <c r="AS158" s="735">
        <v>24</v>
      </c>
      <c r="AT158" s="737">
        <f ca="1">IF($AR158&gt;0,$C$5-$AR158,$C$5-'Base Information Sheet'!$B$15)</f>
        <v>2026</v>
      </c>
      <c r="AU158" s="737">
        <f>IF($AR158&gt;0,$AR158+$AS158,'Base Information Sheet'!$B$15+'Physical Condition Assessment'!$AS158)</f>
        <v>24</v>
      </c>
      <c r="AV158" s="738">
        <f ca="1">IF($N158="x",0,IF($AU158&lt;=$C$5,'Physical Condition Assessment'!$AP158,0))</f>
        <v>0</v>
      </c>
      <c r="AW158" s="738">
        <f ca="1">IF(AV158&gt;0,0,IF($N158="x",0,IF(($AU158-6)&lt;$C$5,'Physical Condition Assessment'!$AP158,0)))</f>
        <v>0</v>
      </c>
      <c r="AX158" s="738">
        <f ca="1">IF(SUM(AV158:AW158)&gt;0,0,IF($N158="x",0,IF(($AU158-11)&lt;$C$5,'Physical Condition Assessment'!$AP158,0)))</f>
        <v>0</v>
      </c>
      <c r="AY158" s="738">
        <f ca="1">IF(SUM(AV158:AX158)&gt;0,0,IF($N158="x",0,IF(($AU158-16)&lt;$C$5,'Physical Condition Assessment'!$AP158,0)))</f>
        <v>0</v>
      </c>
    </row>
    <row r="159" spans="1:51" ht="16" thickBot="1" x14ac:dyDescent="0.25">
      <c r="A159" s="618" t="s">
        <v>346</v>
      </c>
      <c r="B159" s="618" t="s">
        <v>361</v>
      </c>
      <c r="C159" s="502" t="s">
        <v>362</v>
      </c>
      <c r="D159" s="502" t="s">
        <v>365</v>
      </c>
      <c r="E159" s="730"/>
      <c r="F159" s="729"/>
      <c r="G159" s="537" t="s">
        <v>41</v>
      </c>
      <c r="H159" s="5"/>
      <c r="I159" s="537" t="s">
        <v>42</v>
      </c>
      <c r="J159" s="5"/>
      <c r="K159" s="537" t="s">
        <v>43</v>
      </c>
      <c r="L159" s="5"/>
      <c r="M159" s="537" t="s">
        <v>44</v>
      </c>
      <c r="N159" s="732"/>
      <c r="O159" s="537" t="s">
        <v>52</v>
      </c>
      <c r="P159" s="2"/>
      <c r="Q159" s="3" t="s">
        <v>52</v>
      </c>
      <c r="R159" s="783"/>
      <c r="S159" s="784">
        <f>'Physical Condition Assessment'!E159*'PCA Cost Tables - READ ONLY'!P161*'Physical Condition Assessment'!R159*'Base Information Sheet'!$B$38*'Base Information Sheet'!$B$37</f>
        <v>0</v>
      </c>
      <c r="T159" s="786"/>
      <c r="U159" t="s">
        <v>366</v>
      </c>
      <c r="V159" s="502" t="s">
        <v>240</v>
      </c>
      <c r="AE159" s="475" t="s">
        <v>51</v>
      </c>
      <c r="AF159" s="475"/>
      <c r="AG159" s="475" t="s">
        <v>72</v>
      </c>
      <c r="AH159" s="476">
        <f>_xlfn.XLOOKUP($U159,'PCA Cost Tables - READ ONLY'!$E$10:$E$172,'PCA Cost Tables - READ ONLY'!$F$10:$F$172,"BLANK",0)</f>
        <v>0</v>
      </c>
      <c r="AI159" s="476">
        <f>_xlfn.XLOOKUP($U159,'PCA Cost Tables - READ ONLY'!$E$10:$E$172,'PCA Cost Tables - READ ONLY'!$H$10:$H$172,"BLANK",0)</f>
        <v>0</v>
      </c>
      <c r="AJ159" s="476">
        <f>_xlfn.XLOOKUP($U159,'PCA Cost Tables - READ ONLY'!$E$10:$E$172,'PCA Cost Tables - READ ONLY'!$J$10:$J$172,"BLANK",0)</f>
        <v>0</v>
      </c>
      <c r="AK159" s="476">
        <f>_xlfn.XLOOKUP($U159,'PCA Cost Tables - READ ONLY'!$E$10:$E$172,'PCA Cost Tables - READ ONLY'!$L$10:$L$172,"BLANK",0)</f>
        <v>92.806999999999988</v>
      </c>
      <c r="AL159" s="477" t="b">
        <f>IF($AE159="SF",IF($AF159="X",'Base Information Sheet'!$B$23*'Physical Condition Assessment'!$E159*'Physical Condition Assessment'!$AJ159,"-"))</f>
        <v>0</v>
      </c>
      <c r="AM159" s="477" t="b">
        <f>IF($AE159="SF",IF($AG159="X",'Base Information Sheet'!$B$23*'Physical Condition Assessment'!$E159*'Physical Condition Assessment'!$AK159,"-"))</f>
        <v>0</v>
      </c>
      <c r="AN159" s="477" t="str">
        <f>IF($AE159="Unit",IF($AF159="X",'Physical Condition Assessment'!$E159*'Physical Condition Assessment'!$AJ159,"-"))</f>
        <v>-</v>
      </c>
      <c r="AO159" s="477">
        <f>IF($AE159="Unit",IF($AG159="X",'Physical Condition Assessment'!$E159*'Physical Condition Assessment'!$AK159,"-"))</f>
        <v>0</v>
      </c>
      <c r="AP159" s="477">
        <f t="shared" si="4"/>
        <v>0</v>
      </c>
      <c r="AQ159" s="478" t="e">
        <f t="shared" si="5"/>
        <v>#DIV/0!</v>
      </c>
      <c r="AR159" s="735"/>
      <c r="AS159" s="735">
        <v>25</v>
      </c>
      <c r="AT159" s="737">
        <f ca="1">IF($AR159&gt;0,$C$5-$AR159,$C$5-'Base Information Sheet'!$B$15)</f>
        <v>2026</v>
      </c>
      <c r="AU159" s="737">
        <f>IF($AR159&gt;0,$AR159+$AS159,'Base Information Sheet'!$B$15+'Physical Condition Assessment'!$AS159)</f>
        <v>25</v>
      </c>
      <c r="AV159" s="738">
        <f ca="1">IF($N159="x",0,IF($AU159&lt;=$C$5,'Physical Condition Assessment'!$AP159,0))</f>
        <v>0</v>
      </c>
      <c r="AW159" s="738">
        <f ca="1">IF(AV159&gt;0,0,IF($N159="x",0,IF(($AU159-6)&lt;$C$5,'Physical Condition Assessment'!$AP159,0)))</f>
        <v>0</v>
      </c>
      <c r="AX159" s="738">
        <f ca="1">IF(SUM(AV159:AW159)&gt;0,0,IF($N159="x",0,IF(($AU159-11)&lt;$C$5,'Physical Condition Assessment'!$AP159,0)))</f>
        <v>0</v>
      </c>
      <c r="AY159" s="738">
        <f ca="1">IF(SUM(AV159:AX159)&gt;0,0,IF($N159="x",0,IF(($AU159-16)&lt;$C$5,'Physical Condition Assessment'!$AP159,0)))</f>
        <v>0</v>
      </c>
    </row>
    <row r="160" spans="1:51" ht="16" thickBot="1" x14ac:dyDescent="0.25">
      <c r="A160" s="618" t="s">
        <v>346</v>
      </c>
      <c r="B160" s="618" t="s">
        <v>361</v>
      </c>
      <c r="C160" s="502" t="s">
        <v>367</v>
      </c>
      <c r="D160" s="771"/>
      <c r="E160" s="730"/>
      <c r="F160" s="729"/>
      <c r="G160" s="537" t="s">
        <v>41</v>
      </c>
      <c r="H160" s="5"/>
      <c r="I160" s="537" t="s">
        <v>42</v>
      </c>
      <c r="J160" s="5"/>
      <c r="K160" s="537" t="s">
        <v>43</v>
      </c>
      <c r="L160" s="5"/>
      <c r="M160" s="537" t="s">
        <v>44</v>
      </c>
      <c r="N160" s="732"/>
      <c r="O160" s="537" t="s">
        <v>52</v>
      </c>
      <c r="P160" s="2"/>
      <c r="Q160" s="3" t="s">
        <v>52</v>
      </c>
      <c r="R160" s="783"/>
      <c r="S160" s="784">
        <f>'Physical Condition Assessment'!E160*'PCA Cost Tables - READ ONLY'!P162*'Physical Condition Assessment'!R160*'Base Information Sheet'!$B$38*'Base Information Sheet'!$B$37</f>
        <v>0</v>
      </c>
      <c r="T160" s="786"/>
      <c r="U160" t="s">
        <v>368</v>
      </c>
      <c r="V160" s="502" t="s">
        <v>240</v>
      </c>
      <c r="AE160" s="475" t="s">
        <v>51</v>
      </c>
      <c r="AF160" s="475"/>
      <c r="AG160" s="475" t="s">
        <v>72</v>
      </c>
      <c r="AH160" s="476">
        <f>_xlfn.XLOOKUP($U160,'PCA Cost Tables - READ ONLY'!$E$10:$E$172,'PCA Cost Tables - READ ONLY'!$F$10:$F$172,"BLANK",0)</f>
        <v>0</v>
      </c>
      <c r="AI160" s="476">
        <f>_xlfn.XLOOKUP($U160,'PCA Cost Tables - READ ONLY'!$E$10:$E$172,'PCA Cost Tables - READ ONLY'!$H$10:$H$172,"BLANK",0)</f>
        <v>0</v>
      </c>
      <c r="AJ160" s="476">
        <f>_xlfn.XLOOKUP($U160,'PCA Cost Tables - READ ONLY'!$E$10:$E$172,'PCA Cost Tables - READ ONLY'!$J$10:$J$172,"BLANK",0)</f>
        <v>0</v>
      </c>
      <c r="AK160" s="476">
        <f>_xlfn.XLOOKUP($U160,'PCA Cost Tables - READ ONLY'!$E$10:$E$172,'PCA Cost Tables - READ ONLY'!$L$10:$L$172,"BLANK",0)</f>
        <v>64.251000000000005</v>
      </c>
      <c r="AL160" s="477" t="b">
        <f>IF($AE160="SF",IF($AF160="X",'Base Information Sheet'!$B$23*'Physical Condition Assessment'!$E160*'Physical Condition Assessment'!$AJ160,"-"))</f>
        <v>0</v>
      </c>
      <c r="AM160" s="477" t="b">
        <f>IF($AE160="SF",IF($AG160="X",'Base Information Sheet'!$B$23*'Physical Condition Assessment'!$E160*'Physical Condition Assessment'!$AK160,"-"))</f>
        <v>0</v>
      </c>
      <c r="AN160" s="477" t="str">
        <f>IF($AE160="Unit",IF($AF160="X",'Physical Condition Assessment'!$E160*'Physical Condition Assessment'!$AJ160,"-"))</f>
        <v>-</v>
      </c>
      <c r="AO160" s="477">
        <f>IF($AE160="Unit",IF($AG160="X",'Physical Condition Assessment'!$E160*'Physical Condition Assessment'!$AK160,"-"))</f>
        <v>0</v>
      </c>
      <c r="AP160" s="477">
        <f t="shared" si="4"/>
        <v>0</v>
      </c>
      <c r="AQ160" s="478" t="e">
        <f t="shared" si="5"/>
        <v>#DIV/0!</v>
      </c>
      <c r="AR160" s="735"/>
      <c r="AS160" s="735">
        <v>26</v>
      </c>
      <c r="AT160" s="737">
        <f ca="1">IF($AR160&gt;0,$C$5-$AR160,$C$5-'Base Information Sheet'!$B$15)</f>
        <v>2026</v>
      </c>
      <c r="AU160" s="737">
        <f>IF($AR160&gt;0,$AR160+$AS160,'Base Information Sheet'!$B$15+'Physical Condition Assessment'!$AS160)</f>
        <v>26</v>
      </c>
      <c r="AV160" s="738">
        <f ca="1">IF($N160="x",0,IF($AU160&lt;=$C$5,'Physical Condition Assessment'!$AP160,0))</f>
        <v>0</v>
      </c>
      <c r="AW160" s="738">
        <f ca="1">IF(AV160&gt;0,0,IF($N160="x",0,IF(($AU160-6)&lt;$C$5,'Physical Condition Assessment'!$AP160,0)))</f>
        <v>0</v>
      </c>
      <c r="AX160" s="738">
        <f ca="1">IF(SUM(AV160:AW160)&gt;0,0,IF($N160="x",0,IF(($AU160-11)&lt;$C$5,'Physical Condition Assessment'!$AP160,0)))</f>
        <v>0</v>
      </c>
      <c r="AY160" s="738">
        <f ca="1">IF(SUM(AV160:AX160)&gt;0,0,IF($N160="x",0,IF(($AU160-16)&lt;$C$5,'Physical Condition Assessment'!$AP160,0)))</f>
        <v>0</v>
      </c>
    </row>
    <row r="161" spans="1:51" ht="16" thickBot="1" x14ac:dyDescent="0.25">
      <c r="A161" s="618" t="s">
        <v>346</v>
      </c>
      <c r="B161" s="618" t="s">
        <v>361</v>
      </c>
      <c r="C161" s="502" t="s">
        <v>369</v>
      </c>
      <c r="D161" s="771"/>
      <c r="E161" s="730"/>
      <c r="F161" s="729"/>
      <c r="G161" s="537" t="s">
        <v>41</v>
      </c>
      <c r="H161" s="732"/>
      <c r="I161" s="537" t="s">
        <v>42</v>
      </c>
      <c r="J161" s="732"/>
      <c r="K161" s="537" t="s">
        <v>43</v>
      </c>
      <c r="L161" s="732"/>
      <c r="M161" s="537" t="s">
        <v>44</v>
      </c>
      <c r="N161" s="732"/>
      <c r="O161" s="537" t="s">
        <v>52</v>
      </c>
      <c r="P161" s="2"/>
      <c r="Q161" s="3" t="s">
        <v>52</v>
      </c>
      <c r="R161" s="783"/>
      <c r="S161" s="784">
        <f>'Physical Condition Assessment'!E161*'PCA Cost Tables - READ ONLY'!P163*'Physical Condition Assessment'!R161*'Base Information Sheet'!$B$38*'Base Information Sheet'!$B$37</f>
        <v>0</v>
      </c>
      <c r="T161" s="786"/>
      <c r="U161" t="s">
        <v>370</v>
      </c>
      <c r="V161" s="502" t="s">
        <v>240</v>
      </c>
      <c r="AE161" s="475" t="s">
        <v>51</v>
      </c>
      <c r="AF161" s="475"/>
      <c r="AG161" s="475" t="s">
        <v>72</v>
      </c>
      <c r="AH161" s="476">
        <f>_xlfn.XLOOKUP($U161,'PCA Cost Tables - READ ONLY'!$E$10:$E$172,'PCA Cost Tables - READ ONLY'!$F$10:$F$172,"BLANK",0)</f>
        <v>2.9499999999999997</v>
      </c>
      <c r="AI161" s="476">
        <f>_xlfn.XLOOKUP($U161,'PCA Cost Tables - READ ONLY'!$E$10:$E$172,'PCA Cost Tables - READ ONLY'!$H$10:$H$172,"BLANK",0)</f>
        <v>4.4249999999999998</v>
      </c>
      <c r="AJ161" s="476">
        <f>_xlfn.XLOOKUP($U161,'PCA Cost Tables - READ ONLY'!$E$10:$E$172,'PCA Cost Tables - READ ONLY'!$J$10:$J$172,"BLANK",0)</f>
        <v>5.8999999999999995</v>
      </c>
      <c r="AK161" s="476">
        <f>_xlfn.XLOOKUP($U161,'PCA Cost Tables - READ ONLY'!$E$10:$E$172,'PCA Cost Tables - READ ONLY'!$L$10:$L$172,"BLANK",0)</f>
        <v>10.324999999999999</v>
      </c>
      <c r="AL161" s="477" t="b">
        <f>IF($AE161="SF",IF($AF161="X",'Base Information Sheet'!$B$23*'Physical Condition Assessment'!$E161*'Physical Condition Assessment'!$AJ161,"-"))</f>
        <v>0</v>
      </c>
      <c r="AM161" s="477" t="b">
        <f>IF($AE161="SF",IF($AG161="X",'Base Information Sheet'!$B$23*'Physical Condition Assessment'!$E161*'Physical Condition Assessment'!$AK161,"-"))</f>
        <v>0</v>
      </c>
      <c r="AN161" s="477" t="str">
        <f>IF($AE161="Unit",IF($AF161="X",'Physical Condition Assessment'!$E161*'Physical Condition Assessment'!$AJ161,"-"))</f>
        <v>-</v>
      </c>
      <c r="AO161" s="477">
        <f>IF($AE161="Unit",IF($AG161="X",'Physical Condition Assessment'!$E161*'Physical Condition Assessment'!$AK161,"-"))</f>
        <v>0</v>
      </c>
      <c r="AP161" s="477">
        <f t="shared" si="4"/>
        <v>0</v>
      </c>
      <c r="AQ161" s="478" t="e">
        <f t="shared" si="5"/>
        <v>#DIV/0!</v>
      </c>
      <c r="AR161" s="735"/>
      <c r="AS161" s="735">
        <v>27</v>
      </c>
      <c r="AT161" s="737">
        <f ca="1">IF($AR161&gt;0,$C$5-$AR161,$C$5-'Base Information Sheet'!$B$15)</f>
        <v>2026</v>
      </c>
      <c r="AU161" s="737">
        <f>IF($AR161&gt;0,$AR161+$AS161,'Base Information Sheet'!$B$15+'Physical Condition Assessment'!$AS161)</f>
        <v>27</v>
      </c>
      <c r="AV161" s="738">
        <f ca="1">IF($N161="x",0,IF($AU161&lt;=$C$5,'Physical Condition Assessment'!$AP161,0))</f>
        <v>0</v>
      </c>
      <c r="AW161" s="738">
        <f ca="1">IF(AV161&gt;0,0,IF($N161="x",0,IF(($AU161-6)&lt;$C$5,'Physical Condition Assessment'!$AP161,0)))</f>
        <v>0</v>
      </c>
      <c r="AX161" s="738">
        <f ca="1">IF(SUM(AV161:AW161)&gt;0,0,IF($N161="x",0,IF(($AU161-11)&lt;$C$5,'Physical Condition Assessment'!$AP161,0)))</f>
        <v>0</v>
      </c>
      <c r="AY161" s="738">
        <f ca="1">IF(SUM(AV161:AX161)&gt;0,0,IF($N161="x",0,IF(($AU161-16)&lt;$C$5,'Physical Condition Assessment'!$AP161,0)))</f>
        <v>0</v>
      </c>
    </row>
    <row r="162" spans="1:51" ht="16" thickBot="1" x14ac:dyDescent="0.25">
      <c r="A162" s="618" t="s">
        <v>346</v>
      </c>
      <c r="B162" s="618" t="s">
        <v>361</v>
      </c>
      <c r="C162" s="502" t="s">
        <v>371</v>
      </c>
      <c r="D162" s="771"/>
      <c r="E162" s="730"/>
      <c r="F162" s="729"/>
      <c r="G162" s="537" t="s">
        <v>41</v>
      </c>
      <c r="H162" s="5"/>
      <c r="I162" s="537" t="s">
        <v>42</v>
      </c>
      <c r="J162" s="5"/>
      <c r="K162" s="537" t="s">
        <v>43</v>
      </c>
      <c r="L162" s="5"/>
      <c r="M162" s="537" t="s">
        <v>44</v>
      </c>
      <c r="N162" s="732"/>
      <c r="O162" s="537" t="s">
        <v>52</v>
      </c>
      <c r="P162" s="2"/>
      <c r="Q162" s="3" t="s">
        <v>52</v>
      </c>
      <c r="R162" s="783"/>
      <c r="S162" s="784">
        <f>'Physical Condition Assessment'!E162*'PCA Cost Tables - READ ONLY'!P164*'Physical Condition Assessment'!R162*'Base Information Sheet'!$B$38*'Base Information Sheet'!$B$37</f>
        <v>0</v>
      </c>
      <c r="T162" s="786"/>
      <c r="U162" t="s">
        <v>372</v>
      </c>
      <c r="V162" s="502" t="s">
        <v>240</v>
      </c>
      <c r="AE162" s="475" t="s">
        <v>51</v>
      </c>
      <c r="AF162" s="475"/>
      <c r="AG162" s="475" t="s">
        <v>72</v>
      </c>
      <c r="AH162" s="476">
        <f>_xlfn.XLOOKUP($U162,'PCA Cost Tables - READ ONLY'!$E$10:$E$172,'PCA Cost Tables - READ ONLY'!$F$10:$F$172,"BLANK",0)</f>
        <v>0</v>
      </c>
      <c r="AI162" s="476">
        <f>_xlfn.XLOOKUP($U162,'PCA Cost Tables - READ ONLY'!$E$10:$E$172,'PCA Cost Tables - READ ONLY'!$H$10:$H$172,"BLANK",0)</f>
        <v>0</v>
      </c>
      <c r="AJ162" s="476">
        <f>_xlfn.XLOOKUP($U162,'PCA Cost Tables - READ ONLY'!$E$10:$E$172,'PCA Cost Tables - READ ONLY'!$J$10:$J$172,"BLANK",0)</f>
        <v>0</v>
      </c>
      <c r="AK162" s="476">
        <f>_xlfn.XLOOKUP($U162,'PCA Cost Tables - READ ONLY'!$E$10:$E$172,'PCA Cost Tables - READ ONLY'!$L$10:$L$172,"BLANK",0)</f>
        <v>437.29399999999998</v>
      </c>
      <c r="AL162" s="477" t="b">
        <f>IF($AE162="SF",IF($AF162="X",'Base Information Sheet'!$B$23*'Physical Condition Assessment'!$E162*'Physical Condition Assessment'!$AJ162,"-"))</f>
        <v>0</v>
      </c>
      <c r="AM162" s="477" t="b">
        <f>IF($AE162="SF",IF($AG162="X",'Base Information Sheet'!$B$23*'Physical Condition Assessment'!$E162*'Physical Condition Assessment'!$AK162,"-"))</f>
        <v>0</v>
      </c>
      <c r="AN162" s="477" t="str">
        <f>IF($AE162="Unit",IF($AF162="X",'Physical Condition Assessment'!$E162*'Physical Condition Assessment'!$AJ162,"-"))</f>
        <v>-</v>
      </c>
      <c r="AO162" s="477">
        <f>IF($AE162="Unit",IF($AG162="X",'Physical Condition Assessment'!$E162*'Physical Condition Assessment'!$AK162,"-"))</f>
        <v>0</v>
      </c>
      <c r="AP162" s="477">
        <f t="shared" si="4"/>
        <v>0</v>
      </c>
      <c r="AQ162" s="478" t="e">
        <f t="shared" si="5"/>
        <v>#DIV/0!</v>
      </c>
      <c r="AR162" s="735"/>
      <c r="AS162" s="735">
        <v>28</v>
      </c>
      <c r="AT162" s="737">
        <f ca="1">IF($AR162&gt;0,$C$5-$AR162,$C$5-'Base Information Sheet'!$B$15)</f>
        <v>2026</v>
      </c>
      <c r="AU162" s="737">
        <f>IF($AR162&gt;0,$AR162+$AS162,'Base Information Sheet'!$B$15+'Physical Condition Assessment'!$AS162)</f>
        <v>28</v>
      </c>
      <c r="AV162" s="738">
        <f ca="1">IF($N162="x",0,IF($AU162&lt;=$C$5,'Physical Condition Assessment'!$AP162,0))</f>
        <v>0</v>
      </c>
      <c r="AW162" s="738">
        <f ca="1">IF(AV162&gt;0,0,IF($N162="x",0,IF(($AU162-6)&lt;$C$5,'Physical Condition Assessment'!$AP162,0)))</f>
        <v>0</v>
      </c>
      <c r="AX162" s="738">
        <f ca="1">IF(SUM(AV162:AW162)&gt;0,0,IF($N162="x",0,IF(($AU162-11)&lt;$C$5,'Physical Condition Assessment'!$AP162,0)))</f>
        <v>0</v>
      </c>
      <c r="AY162" s="738">
        <f ca="1">IF(SUM(AV162:AX162)&gt;0,0,IF($N162="x",0,IF(($AU162-16)&lt;$C$5,'Physical Condition Assessment'!$AP162,0)))</f>
        <v>0</v>
      </c>
    </row>
    <row r="163" spans="1:51" ht="16" thickBot="1" x14ac:dyDescent="0.25">
      <c r="A163" s="618" t="s">
        <v>346</v>
      </c>
      <c r="B163" s="618" t="s">
        <v>361</v>
      </c>
      <c r="C163" s="502" t="s">
        <v>373</v>
      </c>
      <c r="D163" s="771"/>
      <c r="E163" s="730"/>
      <c r="F163" s="729"/>
      <c r="G163" s="537" t="s">
        <v>41</v>
      </c>
      <c r="H163" s="5"/>
      <c r="I163" s="537" t="s">
        <v>42</v>
      </c>
      <c r="J163" s="5"/>
      <c r="K163" s="537" t="s">
        <v>43</v>
      </c>
      <c r="L163" s="5"/>
      <c r="M163" s="537" t="s">
        <v>44</v>
      </c>
      <c r="N163" s="732"/>
      <c r="O163" s="537" t="s">
        <v>52</v>
      </c>
      <c r="P163" s="2"/>
      <c r="Q163" s="3" t="s">
        <v>52</v>
      </c>
      <c r="R163" s="783"/>
      <c r="S163" s="784">
        <f>'Physical Condition Assessment'!E163*'PCA Cost Tables - READ ONLY'!P165*'Physical Condition Assessment'!R163*'Base Information Sheet'!$B$38*'Base Information Sheet'!$B$37</f>
        <v>0</v>
      </c>
      <c r="T163" s="786"/>
      <c r="U163" t="s">
        <v>374</v>
      </c>
      <c r="V163" s="502" t="s">
        <v>240</v>
      </c>
      <c r="AE163" s="475" t="s">
        <v>51</v>
      </c>
      <c r="AF163" s="475"/>
      <c r="AG163" s="475" t="s">
        <v>72</v>
      </c>
      <c r="AH163" s="476">
        <f>_xlfn.XLOOKUP($U163,'PCA Cost Tables - READ ONLY'!$E$10:$E$172,'PCA Cost Tables - READ ONLY'!$F$10:$F$172,"BLANK",0)</f>
        <v>0</v>
      </c>
      <c r="AI163" s="476">
        <f>_xlfn.XLOOKUP($U163,'PCA Cost Tables - READ ONLY'!$E$10:$E$172,'PCA Cost Tables - READ ONLY'!$H$10:$H$172,"BLANK",0)</f>
        <v>0</v>
      </c>
      <c r="AJ163" s="476">
        <f>_xlfn.XLOOKUP($U163,'PCA Cost Tables - READ ONLY'!$E$10:$E$172,'PCA Cost Tables - READ ONLY'!$J$10:$J$172,"BLANK",0)</f>
        <v>0</v>
      </c>
      <c r="AK163" s="476">
        <f>_xlfn.XLOOKUP($U163,'PCA Cost Tables - READ ONLY'!$E$10:$E$172,'PCA Cost Tables - READ ONLY'!$L$10:$L$172,"BLANK",0)</f>
        <v>630.71249999999998</v>
      </c>
      <c r="AL163" s="477" t="b">
        <f>IF($AE163="SF",IF($AF163="X",'Base Information Sheet'!$B$23*'Physical Condition Assessment'!$E163*'Physical Condition Assessment'!$AJ163,"-"))</f>
        <v>0</v>
      </c>
      <c r="AM163" s="477" t="b">
        <f>IF($AE163="SF",IF($AG163="X",'Base Information Sheet'!$B$23*'Physical Condition Assessment'!$E163*'Physical Condition Assessment'!$AK163,"-"))</f>
        <v>0</v>
      </c>
      <c r="AN163" s="477" t="str">
        <f>IF($AE163="Unit",IF($AF163="X",'Physical Condition Assessment'!$E163*'Physical Condition Assessment'!$AJ163,"-"))</f>
        <v>-</v>
      </c>
      <c r="AO163" s="477">
        <f>IF($AE163="Unit",IF($AG163="X",'Physical Condition Assessment'!$E163*'Physical Condition Assessment'!$AK163,"-"))</f>
        <v>0</v>
      </c>
      <c r="AP163" s="477">
        <f t="shared" si="4"/>
        <v>0</v>
      </c>
      <c r="AQ163" s="478" t="e">
        <f t="shared" si="5"/>
        <v>#DIV/0!</v>
      </c>
      <c r="AR163" s="735"/>
      <c r="AS163" s="735">
        <v>29</v>
      </c>
      <c r="AT163" s="737">
        <f ca="1">IF($AR163&gt;0,$C$5-$AR163,$C$5-'Base Information Sheet'!$B$15)</f>
        <v>2026</v>
      </c>
      <c r="AU163" s="737">
        <f>IF($AR163&gt;0,$AR163+$AS163,'Base Information Sheet'!$B$15+'Physical Condition Assessment'!$AS163)</f>
        <v>29</v>
      </c>
      <c r="AV163" s="738">
        <f ca="1">IF($N163="x",0,IF($AU163&lt;=$C$5,'Physical Condition Assessment'!$AP163,0))</f>
        <v>0</v>
      </c>
      <c r="AW163" s="738">
        <f ca="1">IF(AV163&gt;0,0,IF($N163="x",0,IF(($AU163-6)&lt;$C$5,'Physical Condition Assessment'!$AP163,0)))</f>
        <v>0</v>
      </c>
      <c r="AX163" s="738">
        <f ca="1">IF(SUM(AV163:AW163)&gt;0,0,IF($N163="x",0,IF(($AU163-11)&lt;$C$5,'Physical Condition Assessment'!$AP163,0)))</f>
        <v>0</v>
      </c>
      <c r="AY163" s="738">
        <f ca="1">IF(SUM(AV163:AX163)&gt;0,0,IF($N163="x",0,IF(($AU163-16)&lt;$C$5,'Physical Condition Assessment'!$AP163,0)))</f>
        <v>0</v>
      </c>
    </row>
    <row r="164" spans="1:51" ht="16" thickBot="1" x14ac:dyDescent="0.25">
      <c r="A164" s="618" t="s">
        <v>346</v>
      </c>
      <c r="B164" s="618" t="s">
        <v>361</v>
      </c>
      <c r="C164" s="502" t="s">
        <v>375</v>
      </c>
      <c r="D164" s="771"/>
      <c r="E164" s="730"/>
      <c r="F164" s="729"/>
      <c r="G164" s="537" t="s">
        <v>41</v>
      </c>
      <c r="H164" s="5"/>
      <c r="I164" s="537" t="s">
        <v>42</v>
      </c>
      <c r="J164" s="5"/>
      <c r="K164" s="537" t="s">
        <v>43</v>
      </c>
      <c r="L164" s="5"/>
      <c r="M164" s="537" t="s">
        <v>44</v>
      </c>
      <c r="N164" s="732"/>
      <c r="O164" s="537" t="s">
        <v>52</v>
      </c>
      <c r="P164" s="2"/>
      <c r="Q164" s="3" t="s">
        <v>52</v>
      </c>
      <c r="R164" s="783"/>
      <c r="S164" s="784">
        <f>'Physical Condition Assessment'!E164*'PCA Cost Tables - READ ONLY'!P166*'Physical Condition Assessment'!R164*'Base Information Sheet'!$B$38*'Base Information Sheet'!$B$37</f>
        <v>0</v>
      </c>
      <c r="T164" s="786"/>
      <c r="U164" t="s">
        <v>376</v>
      </c>
      <c r="V164" s="502" t="s">
        <v>240</v>
      </c>
      <c r="AE164" s="475" t="s">
        <v>51</v>
      </c>
      <c r="AF164" s="475"/>
      <c r="AG164" s="475" t="s">
        <v>72</v>
      </c>
      <c r="AH164" s="476">
        <f>_xlfn.XLOOKUP($U164,'PCA Cost Tables - READ ONLY'!$E$10:$E$172,'PCA Cost Tables - READ ONLY'!$F$10:$F$172,"BLANK",0)</f>
        <v>0</v>
      </c>
      <c r="AI164" s="476">
        <f>_xlfn.XLOOKUP($U164,'PCA Cost Tables - READ ONLY'!$E$10:$E$172,'PCA Cost Tables - READ ONLY'!$H$10:$H$172,"BLANK",0)</f>
        <v>0</v>
      </c>
      <c r="AJ164" s="476">
        <f>_xlfn.XLOOKUP($U164,'PCA Cost Tables - READ ONLY'!$E$10:$E$172,'PCA Cost Tables - READ ONLY'!$J$10:$J$172,"BLANK",0)</f>
        <v>0</v>
      </c>
      <c r="AK164" s="476">
        <f>_xlfn.XLOOKUP($U164,'PCA Cost Tables - READ ONLY'!$E$10:$E$172,'PCA Cost Tables - READ ONLY'!$L$10:$L$172,"BLANK",0)</f>
        <v>78.528999999999996</v>
      </c>
      <c r="AL164" s="477" t="b">
        <f>IF($AE164="SF",IF($AF164="X",'Base Information Sheet'!$B$23*'Physical Condition Assessment'!$E164*'Physical Condition Assessment'!$AJ164,"-"))</f>
        <v>0</v>
      </c>
      <c r="AM164" s="477" t="b">
        <f>IF($AE164="SF",IF($AG164="X",'Base Information Sheet'!$B$23*'Physical Condition Assessment'!$E164*'Physical Condition Assessment'!$AK164,"-"))</f>
        <v>0</v>
      </c>
      <c r="AN164" s="477" t="str">
        <f>IF($AE164="Unit",IF($AF164="X",'Physical Condition Assessment'!$E164*'Physical Condition Assessment'!$AJ164,"-"))</f>
        <v>-</v>
      </c>
      <c r="AO164" s="477">
        <f>IF($AE164="Unit",IF($AG164="X",'Physical Condition Assessment'!$E164*'Physical Condition Assessment'!$AK164,"-"))</f>
        <v>0</v>
      </c>
      <c r="AP164" s="477">
        <f t="shared" si="4"/>
        <v>0</v>
      </c>
      <c r="AQ164" s="478" t="e">
        <f t="shared" si="5"/>
        <v>#DIV/0!</v>
      </c>
      <c r="AR164" s="735"/>
      <c r="AS164" s="735">
        <v>30</v>
      </c>
      <c r="AT164" s="737">
        <f ca="1">IF($AR164&gt;0,$C$5-$AR164,$C$5-'Base Information Sheet'!$B$15)</f>
        <v>2026</v>
      </c>
      <c r="AU164" s="737">
        <f>IF($AR164&gt;0,$AR164+$AS164,'Base Information Sheet'!$B$15+'Physical Condition Assessment'!$AS164)</f>
        <v>30</v>
      </c>
      <c r="AV164" s="738">
        <f ca="1">IF($N164="x",0,IF($AU164&lt;=$C$5,'Physical Condition Assessment'!$AP164,0))</f>
        <v>0</v>
      </c>
      <c r="AW164" s="738">
        <f ca="1">IF(AV164&gt;0,0,IF($N164="x",0,IF(($AU164-6)&lt;$C$5,'Physical Condition Assessment'!$AP164,0)))</f>
        <v>0</v>
      </c>
      <c r="AX164" s="738">
        <f ca="1">IF(SUM(AV164:AW164)&gt;0,0,IF($N164="x",0,IF(($AU164-11)&lt;$C$5,'Physical Condition Assessment'!$AP164,0)))</f>
        <v>0</v>
      </c>
      <c r="AY164" s="738">
        <f ca="1">IF(SUM(AV164:AX164)&gt;0,0,IF($N164="x",0,IF(($AU164-16)&lt;$C$5,'Physical Condition Assessment'!$AP164,0)))</f>
        <v>0</v>
      </c>
    </row>
    <row r="165" spans="1:51" ht="16" thickBot="1" x14ac:dyDescent="0.25">
      <c r="A165" s="618" t="s">
        <v>346</v>
      </c>
      <c r="B165" s="618" t="s">
        <v>361</v>
      </c>
      <c r="C165" s="502" t="s">
        <v>377</v>
      </c>
      <c r="D165" s="502" t="s">
        <v>78</v>
      </c>
      <c r="E165" s="463"/>
      <c r="F165" s="464"/>
      <c r="G165" s="537" t="s">
        <v>41</v>
      </c>
      <c r="H165" s="5"/>
      <c r="I165" s="537" t="s">
        <v>42</v>
      </c>
      <c r="J165" s="5"/>
      <c r="K165" s="537" t="s">
        <v>43</v>
      </c>
      <c r="L165" s="5"/>
      <c r="M165" s="537" t="s">
        <v>44</v>
      </c>
      <c r="N165" s="5"/>
      <c r="O165" s="537" t="s">
        <v>52</v>
      </c>
      <c r="P165" s="5"/>
      <c r="Q165" s="3" t="s">
        <v>52</v>
      </c>
      <c r="R165" s="789"/>
      <c r="S165" s="797"/>
      <c r="T165" s="791"/>
      <c r="U165"/>
      <c r="AE165" s="475" t="s">
        <v>51</v>
      </c>
      <c r="AF165" s="475"/>
      <c r="AG165" s="475" t="s">
        <v>72</v>
      </c>
      <c r="AH165" s="476">
        <f>_xlfn.XLOOKUP($U165,'PCA Cost Tables - READ ONLY'!$E$10:$E$172,'PCA Cost Tables - READ ONLY'!$F$10:$F$172,"BLANK",0)</f>
        <v>0</v>
      </c>
      <c r="AI165" s="476">
        <f>_xlfn.XLOOKUP($U165,'PCA Cost Tables - READ ONLY'!$E$10:$E$172,'PCA Cost Tables - READ ONLY'!$H$10:$H$172,"BLANK",0)</f>
        <v>0</v>
      </c>
      <c r="AJ165" s="476">
        <f>_xlfn.XLOOKUP($U165,'PCA Cost Tables - READ ONLY'!$E$10:$E$172,'PCA Cost Tables - READ ONLY'!$J$10:$J$172,"BLANK",0)</f>
        <v>0</v>
      </c>
      <c r="AK165" s="476">
        <f>_xlfn.XLOOKUP($U165,'PCA Cost Tables - READ ONLY'!$E$10:$E$172,'PCA Cost Tables - READ ONLY'!$L$10:$L$172,"BLANK",0)</f>
        <v>0</v>
      </c>
      <c r="AL165" s="477" t="b">
        <f>IF($AE165="SF",IF($AF165="X",'Base Information Sheet'!$B$23*'Physical Condition Assessment'!$E165*'Physical Condition Assessment'!$AJ165,"-"))</f>
        <v>0</v>
      </c>
      <c r="AM165" s="477" t="b">
        <f>IF($AE165="SF",IF($AG165="X",'Base Information Sheet'!$B$23*'Physical Condition Assessment'!$E165*'Physical Condition Assessment'!$AK165,"-"))</f>
        <v>0</v>
      </c>
      <c r="AN165" s="477" t="str">
        <f>IF($AE165="Unit",IF($AF165="X",'Physical Condition Assessment'!$E165*'Physical Condition Assessment'!$AJ165,"-"))</f>
        <v>-</v>
      </c>
      <c r="AO165" s="477">
        <f>IF($AE165="Unit",IF($AG165="X",'Physical Condition Assessment'!$E165*'Physical Condition Assessment'!$AK165,"-"))</f>
        <v>0</v>
      </c>
      <c r="AP165" s="477">
        <f t="shared" si="4"/>
        <v>0</v>
      </c>
      <c r="AQ165" s="478" t="e">
        <f t="shared" si="5"/>
        <v>#DIV/0!</v>
      </c>
      <c r="AR165" s="735"/>
      <c r="AS165" s="735">
        <v>31</v>
      </c>
      <c r="AT165" s="737">
        <v>65</v>
      </c>
      <c r="AU165" s="737">
        <v>2008</v>
      </c>
      <c r="AV165" s="738">
        <f ca="1">IF($N165="x",0,IF($AU165&lt;=$C$5,'Physical Condition Assessment'!$AP165,0))</f>
        <v>0</v>
      </c>
      <c r="AW165" s="738">
        <f ca="1">IF(AV165&gt;0,0,IF($N165="x",0,IF(($AU165-6)&lt;$C$5,'Physical Condition Assessment'!$AP165,0)))</f>
        <v>0</v>
      </c>
      <c r="AX165" s="738">
        <f ca="1">IF(SUM(AV165:AW165)&gt;0,0,IF($N165="x",0,IF(($AU165-11)&lt;$C$5,'Physical Condition Assessment'!$AP165,0)))</f>
        <v>0</v>
      </c>
      <c r="AY165" s="738">
        <f ca="1">IF(SUM(AV165:AX165)&gt;0,0,IF($N165="x",0,IF(($AU165-16)&lt;$C$5,'Physical Condition Assessment'!$AP165,0)))</f>
        <v>0</v>
      </c>
    </row>
    <row r="166" spans="1:51" ht="16" thickBot="1" x14ac:dyDescent="0.25">
      <c r="A166" s="618"/>
      <c r="B166" s="767" t="s">
        <v>378</v>
      </c>
      <c r="C166" s="502" t="s">
        <v>377</v>
      </c>
      <c r="D166" s="771"/>
      <c r="R166" s="503"/>
      <c r="S166" s="503"/>
      <c r="T166" s="788"/>
      <c r="U166"/>
      <c r="AE166" s="479"/>
      <c r="AF166" s="480"/>
      <c r="AG166" s="480"/>
      <c r="AH166" s="480"/>
      <c r="AI166" s="480"/>
      <c r="AJ166" s="481"/>
      <c r="AK166" s="481"/>
      <c r="AL166" s="480"/>
      <c r="AM166" s="480"/>
      <c r="AN166" s="480"/>
      <c r="AO166" s="480"/>
      <c r="AP166" s="482"/>
      <c r="AQ166" s="482"/>
      <c r="AR166" s="739"/>
      <c r="AS166" s="739"/>
      <c r="AT166" s="740"/>
      <c r="AU166" s="741"/>
      <c r="AV166" s="741"/>
      <c r="AW166" s="741"/>
      <c r="AX166" s="741"/>
      <c r="AY166" s="742"/>
    </row>
    <row r="167" spans="1:51" ht="16" thickBot="1" x14ac:dyDescent="0.25">
      <c r="A167" s="618" t="s">
        <v>346</v>
      </c>
      <c r="B167" s="618" t="s">
        <v>378</v>
      </c>
      <c r="C167" s="502" t="s">
        <v>379</v>
      </c>
      <c r="D167" s="502" t="s">
        <v>380</v>
      </c>
      <c r="E167" s="728"/>
      <c r="F167" s="729"/>
      <c r="G167" s="537" t="s">
        <v>41</v>
      </c>
      <c r="H167" s="5"/>
      <c r="I167" s="537" t="s">
        <v>42</v>
      </c>
      <c r="J167" s="5"/>
      <c r="K167" s="537" t="s">
        <v>43</v>
      </c>
      <c r="L167" s="732"/>
      <c r="M167" s="537" t="s">
        <v>44</v>
      </c>
      <c r="N167" s="732"/>
      <c r="O167" s="537" t="s">
        <v>52</v>
      </c>
      <c r="P167" s="2"/>
      <c r="Q167" s="3" t="s">
        <v>52</v>
      </c>
      <c r="R167" s="783"/>
      <c r="S167" s="784">
        <f>'Base Information Sheet'!$B$23*'Physical Condition Assessment'!E167*'PCA Cost Tables - READ ONLY'!P169*'Physical Condition Assessment'!R167*'Base Information Sheet'!$B$38*'Base Information Sheet'!$B$37</f>
        <v>0</v>
      </c>
      <c r="T167" s="786"/>
      <c r="U167" t="s">
        <v>381</v>
      </c>
      <c r="V167" s="502" t="s">
        <v>302</v>
      </c>
      <c r="AE167" s="475" t="s">
        <v>71</v>
      </c>
      <c r="AF167" s="475"/>
      <c r="AG167" s="475" t="s">
        <v>72</v>
      </c>
      <c r="AH167" s="476">
        <f>_xlfn.XLOOKUP($U167,'PCA Cost Tables - READ ONLY'!$E$10:$E$172,'PCA Cost Tables - READ ONLY'!$F$10:$F$172,"BLANK",0)</f>
        <v>0</v>
      </c>
      <c r="AI167" s="476">
        <f>_xlfn.XLOOKUP($U167,'PCA Cost Tables - READ ONLY'!$E$10:$E$172,'PCA Cost Tables - READ ONLY'!$H$10:$H$172,"BLANK",0)</f>
        <v>0</v>
      </c>
      <c r="AJ167" s="476">
        <f>_xlfn.XLOOKUP($U167,'PCA Cost Tables - READ ONLY'!$E$10:$E$172,'PCA Cost Tables - READ ONLY'!$J$10:$J$172,"BLANK",0)</f>
        <v>1.2998000000000001</v>
      </c>
      <c r="AK167" s="476">
        <f>_xlfn.XLOOKUP($U167,'PCA Cost Tables - READ ONLY'!$E$10:$E$172,'PCA Cost Tables - READ ONLY'!$L$10:$L$172,"BLANK",0)</f>
        <v>3.9932000000000003</v>
      </c>
      <c r="AL167" s="477" t="str">
        <f>IF($AE167="SF",IF($AF167="X",'Base Information Sheet'!$B$23*'Physical Condition Assessment'!$E167*'Physical Condition Assessment'!$AJ167,"-"))</f>
        <v>-</v>
      </c>
      <c r="AM167" s="477">
        <f>IF($AE167="SF",IF($AG167="X",'Base Information Sheet'!$B$23*'Physical Condition Assessment'!$E167*'Physical Condition Assessment'!$AK167,"-"))</f>
        <v>0</v>
      </c>
      <c r="AN167" s="477" t="b">
        <f>IF($AE167="Unit",IF($AF167="X",'Physical Condition Assessment'!$E167*'Physical Condition Assessment'!$AJ167,"-"))</f>
        <v>0</v>
      </c>
      <c r="AO167" s="477" t="b">
        <f>IF($AE167="Unit",IF($AG167="X",'Physical Condition Assessment'!$E167*'Physical Condition Assessment'!$AK167,"-"))</f>
        <v>0</v>
      </c>
      <c r="AP167" s="477">
        <f t="shared" si="4"/>
        <v>0</v>
      </c>
      <c r="AQ167" s="478" t="e">
        <f t="shared" si="5"/>
        <v>#DIV/0!</v>
      </c>
      <c r="AR167" s="735"/>
      <c r="AS167" s="735">
        <v>31</v>
      </c>
      <c r="AT167" s="737">
        <f ca="1">IF($AR167&gt;0,$C$5-$AR167,$C$5-'Base Information Sheet'!$B$15)</f>
        <v>2026</v>
      </c>
      <c r="AU167" s="737">
        <f>IF($AR167&gt;0,$AR167+$AS167,'Base Information Sheet'!$B$15+'Physical Condition Assessment'!$AS167)</f>
        <v>31</v>
      </c>
      <c r="AV167" s="738">
        <f ca="1">IF($N167="x",0,IF($AU167&lt;=$C$5,'Physical Condition Assessment'!$AP167,0))</f>
        <v>0</v>
      </c>
      <c r="AW167" s="738">
        <f ca="1">IF(AV167&gt;0,0,IF($N167="x",0,IF(($AU167-6)&lt;$C$5,'Physical Condition Assessment'!$AP167,0)))</f>
        <v>0</v>
      </c>
      <c r="AX167" s="738">
        <f ca="1">IF(SUM(AV167:AW167)&gt;0,0,IF($N167="x",0,IF(($AU167-11)&lt;$C$5,'Physical Condition Assessment'!$AP167,0)))</f>
        <v>0</v>
      </c>
      <c r="AY167" s="738">
        <f ca="1">IF(SUM(AV167:AX167)&gt;0,0,IF($N167="x",0,IF(($AU167-16)&lt;$C$5,'Physical Condition Assessment'!$AP167,0)))</f>
        <v>0</v>
      </c>
    </row>
    <row r="168" spans="1:51" ht="16" thickBot="1" x14ac:dyDescent="0.25">
      <c r="A168" s="618" t="s">
        <v>346</v>
      </c>
      <c r="B168" s="618" t="s">
        <v>378</v>
      </c>
      <c r="C168" s="502" t="s">
        <v>379</v>
      </c>
      <c r="D168" s="502" t="s">
        <v>382</v>
      </c>
      <c r="E168" s="730"/>
      <c r="F168" s="729"/>
      <c r="G168" s="537" t="s">
        <v>41</v>
      </c>
      <c r="H168" s="732"/>
      <c r="I168" s="537" t="s">
        <v>42</v>
      </c>
      <c r="J168" s="732"/>
      <c r="K168" s="537" t="s">
        <v>43</v>
      </c>
      <c r="L168" s="732"/>
      <c r="M168" s="537" t="s">
        <v>44</v>
      </c>
      <c r="N168" s="732"/>
      <c r="O168" s="537" t="s">
        <v>52</v>
      </c>
      <c r="P168" s="2"/>
      <c r="Q168" s="3" t="s">
        <v>52</v>
      </c>
      <c r="R168" s="783"/>
      <c r="S168" s="784">
        <f>'Physical Condition Assessment'!E168*'PCA Cost Tables - READ ONLY'!P170*'Physical Condition Assessment'!R168*'Base Information Sheet'!$B$38*'Base Information Sheet'!$B$37</f>
        <v>0</v>
      </c>
      <c r="T168" s="786"/>
      <c r="U168" t="s">
        <v>383</v>
      </c>
      <c r="V168" s="502" t="s">
        <v>302</v>
      </c>
      <c r="AE168" s="475" t="s">
        <v>51</v>
      </c>
      <c r="AF168" s="475"/>
      <c r="AG168" s="475" t="s">
        <v>72</v>
      </c>
      <c r="AH168" s="476">
        <f>_xlfn.XLOOKUP($U168,'PCA Cost Tables - READ ONLY'!$E$10:$E$172,'PCA Cost Tables - READ ONLY'!$F$10:$F$172,"BLANK",0)</f>
        <v>2737.6</v>
      </c>
      <c r="AI168" s="476">
        <f>_xlfn.XLOOKUP($U168,'PCA Cost Tables - READ ONLY'!$E$10:$E$172,'PCA Cost Tables - READ ONLY'!$H$10:$H$172,"BLANK",0)</f>
        <v>13688</v>
      </c>
      <c r="AJ168" s="476">
        <f>_xlfn.XLOOKUP($U168,'PCA Cost Tables - READ ONLY'!$E$10:$E$172,'PCA Cost Tables - READ ONLY'!$J$10:$J$172,"BLANK",0)</f>
        <v>88972</v>
      </c>
      <c r="AK168" s="476">
        <f>_xlfn.XLOOKUP($U168,'PCA Cost Tables - READ ONLY'!$E$10:$E$172,'PCA Cost Tables - READ ONLY'!$L$10:$L$172,"BLANK",0)</f>
        <v>123192</v>
      </c>
      <c r="AL168" s="477" t="b">
        <f>IF($AE168="SF",IF($AF168="X",'Base Information Sheet'!$B$23*'Physical Condition Assessment'!$E168*'Physical Condition Assessment'!$AJ168,"-"))</f>
        <v>0</v>
      </c>
      <c r="AM168" s="477" t="b">
        <f>IF($AE168="SF",IF($AG168="X",'Base Information Sheet'!$B$23*'Physical Condition Assessment'!$E168*'Physical Condition Assessment'!$AK168,"-"))</f>
        <v>0</v>
      </c>
      <c r="AN168" s="477" t="str">
        <f>IF($AE168="Unit",IF($AF168="X",'Physical Condition Assessment'!$E168*'Physical Condition Assessment'!$AJ168,"-"))</f>
        <v>-</v>
      </c>
      <c r="AO168" s="477">
        <f>IF($AE168="Unit",IF($AG168="X",'Physical Condition Assessment'!$E168*'Physical Condition Assessment'!$AK168,"-"))</f>
        <v>0</v>
      </c>
      <c r="AP168" s="477">
        <f t="shared" si="4"/>
        <v>0</v>
      </c>
      <c r="AQ168" s="478" t="e">
        <f t="shared" si="5"/>
        <v>#DIV/0!</v>
      </c>
      <c r="AR168" s="735"/>
      <c r="AS168" s="735">
        <v>32</v>
      </c>
      <c r="AT168" s="737">
        <f ca="1">IF($AR168&gt;0,$C$5-$AR168,$C$5-'Base Information Sheet'!$B$15)</f>
        <v>2026</v>
      </c>
      <c r="AU168" s="737">
        <f>IF($AR168&gt;0,$AR168+$AS168,'Base Information Sheet'!$B$15+'Physical Condition Assessment'!$AS168)</f>
        <v>32</v>
      </c>
      <c r="AV168" s="738">
        <f ca="1">IF($N168="x",0,IF($AU168&lt;=$C$5,'Physical Condition Assessment'!$AP168,0))</f>
        <v>0</v>
      </c>
      <c r="AW168" s="738">
        <f ca="1">IF(AV168&gt;0,0,IF($N168="x",0,IF(($AU168-6)&lt;$C$5,'Physical Condition Assessment'!$AP168,0)))</f>
        <v>0</v>
      </c>
      <c r="AX168" s="738">
        <f ca="1">IF(SUM(AV168:AW168)&gt;0,0,IF($N168="x",0,IF(($AU168-11)&lt;$C$5,'Physical Condition Assessment'!$AP168,0)))</f>
        <v>0</v>
      </c>
      <c r="AY168" s="738">
        <f ca="1">IF(SUM(AV168:AX168)&gt;0,0,IF($N168="x",0,IF(($AU168-16)&lt;$C$5,'Physical Condition Assessment'!$AP168,0)))</f>
        <v>0</v>
      </c>
    </row>
    <row r="169" spans="1:51" ht="16" thickBot="1" x14ac:dyDescent="0.25">
      <c r="A169" s="618" t="s">
        <v>346</v>
      </c>
      <c r="B169" s="618" t="s">
        <v>378</v>
      </c>
      <c r="C169" s="502" t="s">
        <v>384</v>
      </c>
      <c r="D169" s="775"/>
      <c r="E169" s="730"/>
      <c r="F169" s="729"/>
      <c r="G169" s="537" t="s">
        <v>41</v>
      </c>
      <c r="H169" s="732"/>
      <c r="I169" s="537" t="s">
        <v>42</v>
      </c>
      <c r="J169" s="5"/>
      <c r="K169" s="537" t="s">
        <v>43</v>
      </c>
      <c r="L169" s="5"/>
      <c r="M169" s="537" t="s">
        <v>44</v>
      </c>
      <c r="N169" s="732"/>
      <c r="O169" s="537" t="s">
        <v>52</v>
      </c>
      <c r="P169" s="2"/>
      <c r="Q169" s="3" t="s">
        <v>52</v>
      </c>
      <c r="R169" s="783"/>
      <c r="S169" s="784">
        <f>'Physical Condition Assessment'!E169*'PCA Cost Tables - READ ONLY'!P171*'Physical Condition Assessment'!R169*'Base Information Sheet'!$B$38*'Base Information Sheet'!$B$37</f>
        <v>0</v>
      </c>
      <c r="T169" s="786"/>
      <c r="U169" t="s">
        <v>385</v>
      </c>
      <c r="V169" s="502" t="s">
        <v>302</v>
      </c>
      <c r="AE169" s="475" t="s">
        <v>51</v>
      </c>
      <c r="AF169" s="475"/>
      <c r="AG169" s="475" t="s">
        <v>72</v>
      </c>
      <c r="AH169" s="476">
        <f>_xlfn.XLOOKUP($U169,'PCA Cost Tables - READ ONLY'!$E$10:$E$172,'PCA Cost Tables - READ ONLY'!$F$10:$F$172,"BLANK",0)</f>
        <v>5129.5200000000004</v>
      </c>
      <c r="AI169" s="476">
        <f>_xlfn.XLOOKUP($U169,'PCA Cost Tables - READ ONLY'!$E$10:$E$172,'PCA Cost Tables - READ ONLY'!$H$10:$H$172,"BLANK",0)</f>
        <v>0</v>
      </c>
      <c r="AJ169" s="476">
        <f>_xlfn.XLOOKUP($U169,'PCA Cost Tables - READ ONLY'!$E$10:$E$172,'PCA Cost Tables - READ ONLY'!$J$10:$J$172,"BLANK",0)</f>
        <v>0</v>
      </c>
      <c r="AK169" s="476">
        <f>_xlfn.XLOOKUP($U169,'PCA Cost Tables - READ ONLY'!$E$10:$E$172,'PCA Cost Tables - READ ONLY'!$L$10:$L$172,"BLANK",0)</f>
        <v>8704.6400000000012</v>
      </c>
      <c r="AL169" s="477" t="b">
        <f>IF($AE169="SF",IF($AF169="X",'Base Information Sheet'!$B$23*'Physical Condition Assessment'!$E169*'Physical Condition Assessment'!$AJ169,"-"))</f>
        <v>0</v>
      </c>
      <c r="AM169" s="477" t="b">
        <f>IF($AE169="SF",IF($AG169="X",'Base Information Sheet'!$B$23*'Physical Condition Assessment'!$E169*'Physical Condition Assessment'!$AK169,"-"))</f>
        <v>0</v>
      </c>
      <c r="AN169" s="477" t="str">
        <f>IF($AE169="Unit",IF($AF169="X",'Physical Condition Assessment'!$E169*'Physical Condition Assessment'!$AJ169,"-"))</f>
        <v>-</v>
      </c>
      <c r="AO169" s="477">
        <f>IF($AE169="Unit",IF($AG169="X",'Physical Condition Assessment'!$E169*'Physical Condition Assessment'!$AK169,"-"))</f>
        <v>0</v>
      </c>
      <c r="AP169" s="477">
        <f t="shared" si="4"/>
        <v>0</v>
      </c>
      <c r="AQ169" s="478" t="e">
        <f t="shared" si="5"/>
        <v>#DIV/0!</v>
      </c>
      <c r="AR169" s="735"/>
      <c r="AS169" s="735">
        <v>33</v>
      </c>
      <c r="AT169" s="737">
        <f ca="1">IF($AR169&gt;0,$C$5-$AR169,$C$5-'Base Information Sheet'!$B$15)</f>
        <v>2026</v>
      </c>
      <c r="AU169" s="737">
        <f>IF($AR169&gt;0,$AR169+$AS169,'Base Information Sheet'!$B$15+'Physical Condition Assessment'!$AS169)</f>
        <v>33</v>
      </c>
      <c r="AV169" s="738">
        <f ca="1">IF($N169="x",0,IF($AU169&lt;=$C$5,'Physical Condition Assessment'!$AP169,0))</f>
        <v>0</v>
      </c>
      <c r="AW169" s="738">
        <f ca="1">IF(AV169&gt;0,0,IF($N169="x",0,IF(($AU169-6)&lt;$C$5,'Physical Condition Assessment'!$AP169,0)))</f>
        <v>0</v>
      </c>
      <c r="AX169" s="738">
        <f ca="1">IF(SUM(AV169:AW169)&gt;0,0,IF($N169="x",0,IF(($AU169-11)&lt;$C$5,'Physical Condition Assessment'!$AP169,0)))</f>
        <v>0</v>
      </c>
      <c r="AY169" s="738">
        <f ca="1">IF(SUM(AV169:AX169)&gt;0,0,IF($N169="x",0,IF(($AU169-16)&lt;$C$5,'Physical Condition Assessment'!$AP169,0)))</f>
        <v>0</v>
      </c>
    </row>
    <row r="170" spans="1:51" ht="16" thickBot="1" x14ac:dyDescent="0.25">
      <c r="A170" s="618" t="s">
        <v>346</v>
      </c>
      <c r="B170" s="618" t="s">
        <v>378</v>
      </c>
      <c r="C170" s="502" t="s">
        <v>386</v>
      </c>
      <c r="D170" s="772"/>
      <c r="E170" s="728"/>
      <c r="F170" s="729"/>
      <c r="G170" s="537" t="s">
        <v>41</v>
      </c>
      <c r="H170" s="5"/>
      <c r="I170" s="537" t="s">
        <v>42</v>
      </c>
      <c r="J170" s="5"/>
      <c r="K170" s="537" t="s">
        <v>43</v>
      </c>
      <c r="L170" s="5"/>
      <c r="M170" s="537" t="s">
        <v>44</v>
      </c>
      <c r="N170" s="732"/>
      <c r="O170" s="537" t="s">
        <v>52</v>
      </c>
      <c r="P170" s="2"/>
      <c r="Q170" s="3" t="s">
        <v>52</v>
      </c>
      <c r="R170" s="783"/>
      <c r="S170" s="784">
        <f>'Base Information Sheet'!$B$23*'Physical Condition Assessment'!E170*'PCA Cost Tables - READ ONLY'!P172*'Physical Condition Assessment'!R170*'Base Information Sheet'!$B$38*'Base Information Sheet'!$B$37</f>
        <v>0</v>
      </c>
      <c r="T170" s="786"/>
      <c r="U170" t="s">
        <v>387</v>
      </c>
      <c r="V170" s="502" t="s">
        <v>302</v>
      </c>
      <c r="AE170" s="475" t="s">
        <v>71</v>
      </c>
      <c r="AF170" s="475"/>
      <c r="AG170" s="475" t="s">
        <v>72</v>
      </c>
      <c r="AH170" s="476">
        <f>_xlfn.XLOOKUP($U170,'PCA Cost Tables - READ ONLY'!$E$10:$E$172,'PCA Cost Tables - READ ONLY'!$F$10:$F$172,"BLANK",0)</f>
        <v>0</v>
      </c>
      <c r="AI170" s="476">
        <f>_xlfn.XLOOKUP($U170,'PCA Cost Tables - READ ONLY'!$E$10:$E$172,'PCA Cost Tables - READ ONLY'!$H$10:$H$172,"BLANK",0)</f>
        <v>0</v>
      </c>
      <c r="AJ170" s="476">
        <f>_xlfn.XLOOKUP($U170,'PCA Cost Tables - READ ONLY'!$E$10:$E$172,'PCA Cost Tables - READ ONLY'!$J$10:$J$172,"BLANK",0)</f>
        <v>0</v>
      </c>
      <c r="AK170" s="476">
        <f>_xlfn.XLOOKUP($U170,'PCA Cost Tables - READ ONLY'!$E$10:$E$172,'PCA Cost Tables - READ ONLY'!$L$10:$L$172,"BLANK",0)</f>
        <v>18.652800000000003</v>
      </c>
      <c r="AL170" s="477" t="str">
        <f>IF($AE170="SF",IF($AF170="X",'Base Information Sheet'!$B$23*'Physical Condition Assessment'!$E170*'Physical Condition Assessment'!$AJ170,"-"))</f>
        <v>-</v>
      </c>
      <c r="AM170" s="477">
        <f>IF($AE170="SF",IF($AG170="X",'Base Information Sheet'!$B$23*'Physical Condition Assessment'!$E170*'Physical Condition Assessment'!$AK170,"-"))</f>
        <v>0</v>
      </c>
      <c r="AN170" s="477" t="b">
        <f>IF($AE170="Unit",IF($AF170="X",'Physical Condition Assessment'!$E170*'Physical Condition Assessment'!$AJ170,"-"))</f>
        <v>0</v>
      </c>
      <c r="AO170" s="477" t="b">
        <f>IF($AE170="Unit",IF($AG170="X",'Physical Condition Assessment'!$E170*'Physical Condition Assessment'!$AK170,"-"))</f>
        <v>0</v>
      </c>
      <c r="AP170" s="477">
        <f t="shared" si="4"/>
        <v>0</v>
      </c>
      <c r="AQ170" s="478" t="e">
        <f t="shared" si="5"/>
        <v>#DIV/0!</v>
      </c>
      <c r="AR170" s="735"/>
      <c r="AS170" s="735">
        <v>34</v>
      </c>
      <c r="AT170" s="737">
        <f ca="1">IF($AR170&gt;0,$C$5-$AR170,$C$5-'Base Information Sheet'!$B$15)</f>
        <v>2026</v>
      </c>
      <c r="AU170" s="737">
        <f>IF($AR170&gt;0,$AR170+$AS170,'Base Information Sheet'!$B$15+'Physical Condition Assessment'!$AS170)</f>
        <v>34</v>
      </c>
      <c r="AV170" s="738">
        <f ca="1">IF($N170="x",0,IF($AU170&lt;=$C$5,'Physical Condition Assessment'!$AP170,0))</f>
        <v>0</v>
      </c>
      <c r="AW170" s="738">
        <f ca="1">IF(AV170&gt;0,0,IF($N170="x",0,IF(($AU170-6)&lt;$C$5,'Physical Condition Assessment'!$AP170,0)))</f>
        <v>0</v>
      </c>
      <c r="AX170" s="738">
        <f ca="1">IF(SUM(AV170:AW170)&gt;0,0,IF($N170="x",0,IF(($AU170-11)&lt;$C$5,'Physical Condition Assessment'!$AP170,0)))</f>
        <v>0</v>
      </c>
      <c r="AY170" s="738">
        <f ca="1">IF(SUM(AV170:AX170)&gt;0,0,IF($N170="x",0,IF(($AU170-16)&lt;$C$5,'Physical Condition Assessment'!$AP170,0)))</f>
        <v>0</v>
      </c>
    </row>
    <row r="171" spans="1:51" ht="14.75" hidden="1" customHeight="1" thickBot="1" x14ac:dyDescent="0.25">
      <c r="A171" s="618"/>
      <c r="B171" s="618"/>
      <c r="C171" s="502" t="s">
        <v>388</v>
      </c>
      <c r="D171" s="502" t="s">
        <v>78</v>
      </c>
      <c r="E171" s="463"/>
      <c r="F171" s="464"/>
      <c r="G171" s="3" t="s">
        <v>41</v>
      </c>
      <c r="H171" s="5"/>
      <c r="I171" s="3" t="s">
        <v>42</v>
      </c>
      <c r="J171" s="5"/>
      <c r="K171" s="3" t="s">
        <v>43</v>
      </c>
      <c r="L171" s="5"/>
      <c r="M171" s="3" t="s">
        <v>44</v>
      </c>
      <c r="N171" s="5"/>
      <c r="O171" s="3" t="s">
        <v>52</v>
      </c>
      <c r="P171" s="5"/>
      <c r="Q171" s="3" t="s">
        <v>52</v>
      </c>
      <c r="R171" s="32"/>
      <c r="S171" s="41"/>
      <c r="T171" s="58"/>
      <c r="U171"/>
    </row>
    <row r="172" spans="1:51" ht="14.25" hidden="1" customHeight="1" x14ac:dyDescent="0.2">
      <c r="A172" s="618"/>
      <c r="B172" s="767" t="s">
        <v>389</v>
      </c>
      <c r="C172" s="502" t="s">
        <v>388</v>
      </c>
      <c r="D172" s="502" t="s">
        <v>78</v>
      </c>
      <c r="E172" s="26"/>
      <c r="F172" s="1"/>
      <c r="G172" s="3"/>
      <c r="H172" s="1"/>
      <c r="I172" s="3"/>
      <c r="J172" s="1"/>
      <c r="K172" s="3"/>
      <c r="L172" s="1"/>
      <c r="M172" s="3"/>
      <c r="N172" s="1"/>
      <c r="O172" s="3"/>
      <c r="P172" s="1"/>
      <c r="Q172" s="3"/>
      <c r="R172" s="26"/>
      <c r="S172" s="35"/>
      <c r="T172" s="417"/>
      <c r="U172"/>
    </row>
    <row r="173" spans="1:51" x14ac:dyDescent="0.2">
      <c r="A173" s="505" t="s">
        <v>390</v>
      </c>
    </row>
    <row r="174" spans="1:51" ht="33" thickBot="1" x14ac:dyDescent="0.25">
      <c r="A174" s="652"/>
      <c r="B174" s="710" t="s">
        <v>391</v>
      </c>
      <c r="C174" s="711"/>
      <c r="D174" s="711"/>
      <c r="E174" s="712"/>
      <c r="F174" s="713"/>
      <c r="G174" s="714"/>
      <c r="H174" s="713"/>
      <c r="I174" s="714"/>
      <c r="J174" s="715"/>
      <c r="K174" s="716" t="s">
        <v>392</v>
      </c>
      <c r="L174" s="717"/>
      <c r="M174" s="716" t="s">
        <v>393</v>
      </c>
      <c r="N174" s="717"/>
      <c r="O174" s="716" t="s">
        <v>394</v>
      </c>
      <c r="P174" s="717"/>
      <c r="Q174" s="716" t="s">
        <v>394</v>
      </c>
      <c r="R174" s="717"/>
      <c r="S174" s="716" t="s">
        <v>395</v>
      </c>
      <c r="T174" s="716" t="s">
        <v>49</v>
      </c>
      <c r="U174" s="712"/>
    </row>
    <row r="175" spans="1:51" ht="16" thickBot="1" x14ac:dyDescent="0.25">
      <c r="C175" s="718"/>
      <c r="D175" s="719"/>
      <c r="E175" s="719"/>
      <c r="F175" s="719"/>
      <c r="G175" s="719"/>
      <c r="H175" s="719"/>
      <c r="I175" s="720"/>
      <c r="K175" s="721"/>
      <c r="M175" s="721"/>
      <c r="O175" s="722"/>
      <c r="Q175" s="721"/>
      <c r="S175" s="723">
        <f t="shared" ref="S175:S194" si="6">O175*M175</f>
        <v>0</v>
      </c>
      <c r="T175" s="724"/>
      <c r="U175" s="719"/>
    </row>
    <row r="176" spans="1:51" ht="16" thickBot="1" x14ac:dyDescent="0.25">
      <c r="C176" s="718"/>
      <c r="D176" s="719"/>
      <c r="E176" s="719"/>
      <c r="F176" s="719"/>
      <c r="G176" s="719"/>
      <c r="H176" s="719"/>
      <c r="I176" s="720"/>
      <c r="K176" s="721"/>
      <c r="M176" s="721"/>
      <c r="O176" s="722"/>
      <c r="Q176" s="721"/>
      <c r="S176" s="723">
        <f t="shared" si="6"/>
        <v>0</v>
      </c>
      <c r="T176" s="724"/>
      <c r="U176" s="719"/>
    </row>
    <row r="177" spans="3:21" ht="16" thickBot="1" x14ac:dyDescent="0.25">
      <c r="C177" s="718"/>
      <c r="D177" s="719"/>
      <c r="E177" s="719"/>
      <c r="F177" s="719"/>
      <c r="G177" s="719"/>
      <c r="H177" s="719"/>
      <c r="I177" s="720"/>
      <c r="K177" s="721"/>
      <c r="M177" s="721"/>
      <c r="O177" s="722"/>
      <c r="Q177" s="721"/>
      <c r="S177" s="723">
        <f t="shared" si="6"/>
        <v>0</v>
      </c>
      <c r="T177" s="724"/>
      <c r="U177" s="719"/>
    </row>
    <row r="178" spans="3:21" ht="16" thickBot="1" x14ac:dyDescent="0.25">
      <c r="C178" s="718"/>
      <c r="D178" s="719"/>
      <c r="E178" s="719"/>
      <c r="F178" s="719"/>
      <c r="G178" s="719"/>
      <c r="H178" s="719"/>
      <c r="I178" s="720"/>
      <c r="K178" s="721"/>
      <c r="M178" s="721"/>
      <c r="O178" s="722"/>
      <c r="Q178" s="721"/>
      <c r="S178" s="723">
        <f t="shared" si="6"/>
        <v>0</v>
      </c>
      <c r="T178" s="724"/>
      <c r="U178" s="719"/>
    </row>
    <row r="179" spans="3:21" ht="16" thickBot="1" x14ac:dyDescent="0.25">
      <c r="C179" s="718"/>
      <c r="D179" s="719"/>
      <c r="E179" s="719"/>
      <c r="F179" s="719"/>
      <c r="G179" s="719"/>
      <c r="H179" s="719"/>
      <c r="I179" s="720"/>
      <c r="K179" s="721"/>
      <c r="M179" s="721"/>
      <c r="O179" s="722"/>
      <c r="Q179" s="721"/>
      <c r="S179" s="723">
        <f t="shared" si="6"/>
        <v>0</v>
      </c>
      <c r="T179" s="724"/>
      <c r="U179" s="719"/>
    </row>
    <row r="180" spans="3:21" ht="16" thickBot="1" x14ac:dyDescent="0.25">
      <c r="C180" s="718"/>
      <c r="D180" s="719"/>
      <c r="E180" s="719"/>
      <c r="F180" s="719"/>
      <c r="G180" s="719"/>
      <c r="H180" s="719"/>
      <c r="I180" s="720"/>
      <c r="K180" s="721"/>
      <c r="M180" s="721"/>
      <c r="O180" s="722"/>
      <c r="Q180" s="721"/>
      <c r="S180" s="723">
        <f t="shared" si="6"/>
        <v>0</v>
      </c>
      <c r="T180" s="724"/>
      <c r="U180" s="719"/>
    </row>
    <row r="181" spans="3:21" ht="16" thickBot="1" x14ac:dyDescent="0.25">
      <c r="C181" s="718"/>
      <c r="D181" s="719"/>
      <c r="E181" s="719"/>
      <c r="F181" s="719"/>
      <c r="G181" s="719"/>
      <c r="H181" s="719"/>
      <c r="I181" s="720"/>
      <c r="K181" s="721"/>
      <c r="M181" s="721"/>
      <c r="O181" s="722"/>
      <c r="Q181" s="721"/>
      <c r="S181" s="723">
        <f t="shared" si="6"/>
        <v>0</v>
      </c>
      <c r="T181" s="724"/>
      <c r="U181" s="719"/>
    </row>
    <row r="182" spans="3:21" ht="16" thickBot="1" x14ac:dyDescent="0.25">
      <c r="C182" s="718"/>
      <c r="D182" s="719"/>
      <c r="E182" s="719"/>
      <c r="F182" s="719"/>
      <c r="G182" s="719"/>
      <c r="H182" s="719"/>
      <c r="I182" s="720"/>
      <c r="K182" s="721"/>
      <c r="M182" s="721"/>
      <c r="O182" s="722"/>
      <c r="Q182" s="721"/>
      <c r="S182" s="723">
        <f t="shared" si="6"/>
        <v>0</v>
      </c>
      <c r="T182" s="724"/>
      <c r="U182" s="719"/>
    </row>
    <row r="183" spans="3:21" ht="16" thickBot="1" x14ac:dyDescent="0.25">
      <c r="C183" s="718"/>
      <c r="D183" s="719"/>
      <c r="E183" s="719"/>
      <c r="F183" s="719"/>
      <c r="G183" s="719"/>
      <c r="H183" s="719"/>
      <c r="I183" s="720"/>
      <c r="K183" s="721"/>
      <c r="M183" s="721"/>
      <c r="O183" s="722"/>
      <c r="Q183" s="721"/>
      <c r="S183" s="723">
        <f t="shared" si="6"/>
        <v>0</v>
      </c>
      <c r="T183" s="724"/>
      <c r="U183" s="719"/>
    </row>
    <row r="184" spans="3:21" ht="16" thickBot="1" x14ac:dyDescent="0.25">
      <c r="C184" s="718"/>
      <c r="D184" s="719"/>
      <c r="E184" s="719"/>
      <c r="F184" s="719"/>
      <c r="G184" s="719"/>
      <c r="H184" s="719"/>
      <c r="I184" s="720"/>
      <c r="K184" s="721"/>
      <c r="M184" s="721"/>
      <c r="O184" s="722"/>
      <c r="Q184" s="721"/>
      <c r="S184" s="723">
        <f t="shared" si="6"/>
        <v>0</v>
      </c>
      <c r="T184" s="724"/>
      <c r="U184" s="719"/>
    </row>
    <row r="185" spans="3:21" ht="16" thickBot="1" x14ac:dyDescent="0.25">
      <c r="C185" s="718"/>
      <c r="D185" s="719"/>
      <c r="E185" s="719"/>
      <c r="F185" s="719"/>
      <c r="G185" s="719"/>
      <c r="H185" s="719"/>
      <c r="I185" s="720"/>
      <c r="K185" s="721"/>
      <c r="M185" s="721"/>
      <c r="O185" s="722"/>
      <c r="Q185" s="721"/>
      <c r="S185" s="723">
        <f t="shared" si="6"/>
        <v>0</v>
      </c>
      <c r="T185" s="724"/>
      <c r="U185" s="719"/>
    </row>
    <row r="186" spans="3:21" ht="16" thickBot="1" x14ac:dyDescent="0.25">
      <c r="C186" s="718"/>
      <c r="D186" s="719"/>
      <c r="E186" s="719"/>
      <c r="F186" s="719"/>
      <c r="G186" s="719"/>
      <c r="H186" s="719"/>
      <c r="I186" s="720"/>
      <c r="K186" s="721"/>
      <c r="M186" s="721"/>
      <c r="O186" s="722"/>
      <c r="Q186" s="721"/>
      <c r="S186" s="723">
        <f t="shared" si="6"/>
        <v>0</v>
      </c>
      <c r="T186" s="724"/>
      <c r="U186" s="719"/>
    </row>
    <row r="187" spans="3:21" ht="16" thickBot="1" x14ac:dyDescent="0.25">
      <c r="C187" s="718"/>
      <c r="D187" s="719"/>
      <c r="E187" s="719"/>
      <c r="F187" s="719"/>
      <c r="G187" s="719"/>
      <c r="H187" s="719"/>
      <c r="I187" s="720"/>
      <c r="K187" s="721"/>
      <c r="M187" s="721"/>
      <c r="O187" s="722"/>
      <c r="Q187" s="721"/>
      <c r="S187" s="723">
        <f t="shared" si="6"/>
        <v>0</v>
      </c>
      <c r="T187" s="724"/>
      <c r="U187" s="719"/>
    </row>
    <row r="188" spans="3:21" ht="16" thickBot="1" x14ac:dyDescent="0.25">
      <c r="C188" s="718"/>
      <c r="D188" s="719"/>
      <c r="E188" s="719"/>
      <c r="F188" s="719"/>
      <c r="G188" s="719"/>
      <c r="H188" s="719"/>
      <c r="I188" s="720"/>
      <c r="K188" s="721"/>
      <c r="M188" s="721"/>
      <c r="O188" s="722"/>
      <c r="Q188" s="721"/>
      <c r="S188" s="723">
        <f t="shared" si="6"/>
        <v>0</v>
      </c>
      <c r="T188" s="724"/>
      <c r="U188" s="719"/>
    </row>
    <row r="189" spans="3:21" ht="16" thickBot="1" x14ac:dyDescent="0.25">
      <c r="C189" s="718"/>
      <c r="D189" s="719"/>
      <c r="E189" s="719"/>
      <c r="F189" s="719"/>
      <c r="G189" s="719"/>
      <c r="H189" s="719"/>
      <c r="I189" s="720"/>
      <c r="K189" s="721"/>
      <c r="M189" s="721"/>
      <c r="O189" s="722"/>
      <c r="Q189" s="721"/>
      <c r="S189" s="723">
        <f t="shared" si="6"/>
        <v>0</v>
      </c>
      <c r="T189" s="724"/>
      <c r="U189" s="719"/>
    </row>
    <row r="190" spans="3:21" ht="16" thickBot="1" x14ac:dyDescent="0.25">
      <c r="C190" s="718"/>
      <c r="D190" s="719"/>
      <c r="E190" s="719"/>
      <c r="F190" s="719"/>
      <c r="G190" s="719"/>
      <c r="H190" s="719"/>
      <c r="I190" s="720"/>
      <c r="K190" s="721"/>
      <c r="M190" s="721"/>
      <c r="O190" s="722"/>
      <c r="Q190" s="721"/>
      <c r="S190" s="723">
        <f t="shared" si="6"/>
        <v>0</v>
      </c>
      <c r="T190" s="724"/>
      <c r="U190" s="719"/>
    </row>
    <row r="191" spans="3:21" ht="16" thickBot="1" x14ac:dyDescent="0.25">
      <c r="C191" s="718"/>
      <c r="D191" s="719"/>
      <c r="E191" s="719"/>
      <c r="F191" s="719"/>
      <c r="G191" s="719"/>
      <c r="H191" s="719"/>
      <c r="I191" s="720"/>
      <c r="K191" s="721"/>
      <c r="M191" s="721"/>
      <c r="O191" s="722"/>
      <c r="Q191" s="721"/>
      <c r="S191" s="723">
        <f t="shared" si="6"/>
        <v>0</v>
      </c>
      <c r="T191" s="724"/>
      <c r="U191" s="719"/>
    </row>
    <row r="192" spans="3:21" ht="16" thickBot="1" x14ac:dyDescent="0.25">
      <c r="C192" s="718"/>
      <c r="D192" s="719"/>
      <c r="E192" s="719"/>
      <c r="F192" s="719"/>
      <c r="G192" s="719"/>
      <c r="H192" s="719"/>
      <c r="I192" s="720"/>
      <c r="K192" s="721"/>
      <c r="M192" s="721"/>
      <c r="O192" s="722"/>
      <c r="Q192" s="721"/>
      <c r="S192" s="723">
        <f t="shared" si="6"/>
        <v>0</v>
      </c>
      <c r="T192" s="724"/>
      <c r="U192" s="719"/>
    </row>
    <row r="193" spans="3:21" ht="16" thickBot="1" x14ac:dyDescent="0.25">
      <c r="C193" s="718"/>
      <c r="D193" s="719"/>
      <c r="E193" s="719"/>
      <c r="F193" s="719"/>
      <c r="G193" s="719"/>
      <c r="H193" s="719"/>
      <c r="I193" s="720"/>
      <c r="K193" s="721"/>
      <c r="M193" s="721"/>
      <c r="O193" s="722"/>
      <c r="Q193" s="721"/>
      <c r="S193" s="723">
        <f t="shared" si="6"/>
        <v>0</v>
      </c>
      <c r="T193" s="724"/>
      <c r="U193" s="719"/>
    </row>
    <row r="194" spans="3:21" ht="16" thickBot="1" x14ac:dyDescent="0.25">
      <c r="C194" s="725"/>
      <c r="D194" s="726"/>
      <c r="E194" s="726"/>
      <c r="F194" s="726"/>
      <c r="G194" s="726"/>
      <c r="H194" s="726"/>
      <c r="I194" s="727"/>
      <c r="K194" s="721"/>
      <c r="M194" s="721"/>
      <c r="O194" s="722"/>
      <c r="Q194" s="721"/>
      <c r="S194" s="723">
        <f t="shared" si="6"/>
        <v>0</v>
      </c>
      <c r="T194" s="724"/>
      <c r="U194" s="726"/>
    </row>
    <row r="195" spans="3:21" x14ac:dyDescent="0.2">
      <c r="S195" s="606"/>
    </row>
    <row r="196" spans="3:21" x14ac:dyDescent="0.2">
      <c r="S196" s="606"/>
    </row>
    <row r="197" spans="3:21" x14ac:dyDescent="0.2">
      <c r="S197" s="606"/>
    </row>
    <row r="198" spans="3:21" x14ac:dyDescent="0.2">
      <c r="L198" s="639" t="s">
        <v>396</v>
      </c>
      <c r="M198" s="639"/>
      <c r="N198" s="639"/>
      <c r="O198" s="639"/>
      <c r="Q198" s="639"/>
      <c r="R198" s="639"/>
      <c r="S198" s="640">
        <f>SUM(S10:S194)</f>
        <v>0</v>
      </c>
    </row>
    <row r="199" spans="3:21" x14ac:dyDescent="0.2">
      <c r="L199" s="639" t="s">
        <v>397</v>
      </c>
      <c r="M199" s="639"/>
      <c r="N199" s="639"/>
      <c r="O199" s="639"/>
      <c r="P199" s="639"/>
      <c r="Q199" s="639"/>
      <c r="R199" s="639"/>
      <c r="S199" s="641">
        <f>(S198*'Base Information Sheet'!$B$39)-S198</f>
        <v>0</v>
      </c>
    </row>
    <row r="200" spans="3:21" x14ac:dyDescent="0.2">
      <c r="L200" s="639" t="s">
        <v>398</v>
      </c>
      <c r="M200" s="639"/>
      <c r="N200" s="639"/>
      <c r="O200" s="639"/>
      <c r="P200" s="639"/>
      <c r="Q200" s="639"/>
      <c r="R200" s="639"/>
      <c r="S200" s="640">
        <f>S199+S198</f>
        <v>0</v>
      </c>
      <c r="T200" s="642"/>
    </row>
    <row r="201" spans="3:21" x14ac:dyDescent="0.2">
      <c r="L201" s="639" t="s">
        <v>399</v>
      </c>
      <c r="M201" s="639"/>
      <c r="N201" s="639"/>
      <c r="O201" s="639"/>
      <c r="P201" s="639"/>
      <c r="Q201" s="639"/>
      <c r="R201" s="639"/>
      <c r="S201" s="640">
        <f>S200*'Base Information Sheet'!$B$38</f>
        <v>0</v>
      </c>
      <c r="T201" s="642"/>
    </row>
    <row r="202" spans="3:21" x14ac:dyDescent="0.2">
      <c r="L202" s="639" t="s">
        <v>400</v>
      </c>
      <c r="M202" s="639"/>
      <c r="N202" s="639"/>
      <c r="O202" s="639"/>
      <c r="P202" s="639"/>
      <c r="Q202" s="639"/>
      <c r="R202" s="639"/>
      <c r="S202" s="640">
        <f>S201*'Base Information Sheet'!$B$40</f>
        <v>0</v>
      </c>
      <c r="T202" s="642"/>
    </row>
    <row r="203" spans="3:21" x14ac:dyDescent="0.2">
      <c r="L203" s="639" t="s">
        <v>401</v>
      </c>
      <c r="M203" s="639"/>
      <c r="N203" s="639"/>
      <c r="O203" s="639"/>
      <c r="P203" s="639"/>
      <c r="Q203" s="639"/>
      <c r="R203" s="639"/>
      <c r="S203" s="640">
        <f>S202*'Base Information Sheet'!$B$40</f>
        <v>0</v>
      </c>
      <c r="T203" s="642"/>
    </row>
    <row r="204" spans="3:21" x14ac:dyDescent="0.2">
      <c r="L204" s="537"/>
      <c r="N204" s="537"/>
      <c r="O204" s="639"/>
      <c r="P204" s="639"/>
      <c r="Q204" s="639"/>
      <c r="R204" s="639"/>
      <c r="S204" s="640"/>
      <c r="T204" s="642"/>
    </row>
    <row r="205" spans="3:21" x14ac:dyDescent="0.2">
      <c r="L205" s="639" t="s">
        <v>402</v>
      </c>
      <c r="M205" s="639"/>
      <c r="N205" s="639"/>
      <c r="O205" s="639"/>
      <c r="P205" s="537"/>
      <c r="Q205" s="639"/>
      <c r="R205" s="639"/>
      <c r="S205" s="643">
        <f>('Building Type Budget-READ ONLY'!$F$23*'Base Information Sheet'!$B$23)+U263</f>
        <v>0</v>
      </c>
      <c r="T205" s="644"/>
    </row>
    <row r="206" spans="3:21" x14ac:dyDescent="0.2">
      <c r="L206" s="639" t="s">
        <v>403</v>
      </c>
      <c r="M206" s="639"/>
      <c r="N206" s="639"/>
      <c r="O206" s="639"/>
      <c r="P206" s="639"/>
      <c r="Q206" s="639"/>
      <c r="R206" s="639"/>
      <c r="S206" s="645" t="e">
        <f>(S201/('Building Type Budget-READ ONLY'!$F$23*'Base Information Sheet'!$B$23+U263))</f>
        <v>#DIV/0!</v>
      </c>
    </row>
    <row r="207" spans="3:21" x14ac:dyDescent="0.2">
      <c r="L207" s="639"/>
      <c r="M207" s="639"/>
      <c r="N207" s="639"/>
      <c r="O207" s="639"/>
      <c r="P207" s="639"/>
      <c r="Q207" s="639"/>
      <c r="R207" s="639"/>
      <c r="S207" s="645"/>
    </row>
    <row r="208" spans="3:21" x14ac:dyDescent="0.2">
      <c r="L208" s="646"/>
      <c r="M208" s="646"/>
      <c r="N208" s="646"/>
      <c r="O208" s="646"/>
      <c r="P208" s="639"/>
      <c r="Q208" s="639"/>
      <c r="R208" s="646"/>
      <c r="S208" s="646"/>
    </row>
    <row r="209" spans="3:21" x14ac:dyDescent="0.2">
      <c r="L209" s="639"/>
      <c r="M209" s="639"/>
      <c r="N209" s="639"/>
      <c r="O209" s="639"/>
      <c r="P209" s="646"/>
      <c r="Q209" s="646"/>
      <c r="R209" s="639"/>
      <c r="S209" s="645"/>
    </row>
    <row r="210" spans="3:21" x14ac:dyDescent="0.2">
      <c r="C210" s="647" t="s">
        <v>404</v>
      </c>
      <c r="D210" s="648"/>
      <c r="E210" s="648"/>
      <c r="F210" s="648"/>
      <c r="G210" s="648"/>
      <c r="H210" s="649"/>
      <c r="I210" s="649"/>
      <c r="J210" s="649"/>
      <c r="K210" s="649"/>
      <c r="L210" s="649"/>
      <c r="M210" s="650"/>
      <c r="N210" s="639"/>
      <c r="O210" s="651"/>
      <c r="P210" s="639"/>
      <c r="Q210" s="639"/>
      <c r="R210" s="639"/>
      <c r="S210" s="645"/>
      <c r="U210" s="648"/>
    </row>
    <row r="211" spans="3:21" x14ac:dyDescent="0.2">
      <c r="C211" s="652"/>
      <c r="D211" s="603"/>
      <c r="E211" s="603"/>
      <c r="F211" s="603"/>
      <c r="G211" s="603"/>
      <c r="H211" s="603"/>
      <c r="I211" s="603"/>
      <c r="J211" s="603"/>
      <c r="K211" s="603"/>
      <c r="L211" s="603"/>
      <c r="M211" s="653"/>
      <c r="N211" s="639"/>
      <c r="O211" s="654" t="s">
        <v>405</v>
      </c>
      <c r="P211" s="639"/>
      <c r="Q211" s="639"/>
      <c r="R211" s="639"/>
      <c r="S211" s="645"/>
      <c r="U211" s="603"/>
    </row>
    <row r="212" spans="3:21" x14ac:dyDescent="0.2">
      <c r="C212" s="652"/>
      <c r="D212" s="603"/>
      <c r="E212" s="603"/>
      <c r="F212" s="603"/>
      <c r="G212" s="603"/>
      <c r="H212" s="603"/>
      <c r="I212" s="603"/>
      <c r="J212" s="603"/>
      <c r="K212" s="603"/>
      <c r="L212" s="603"/>
      <c r="M212" s="653"/>
      <c r="N212" s="639"/>
      <c r="O212" s="639"/>
      <c r="P212" s="639"/>
      <c r="Q212" s="639"/>
      <c r="R212" s="639"/>
      <c r="S212" s="645"/>
      <c r="U212" s="603"/>
    </row>
    <row r="213" spans="3:21" x14ac:dyDescent="0.2">
      <c r="C213" s="652"/>
      <c r="D213" s="603"/>
      <c r="E213" s="603"/>
      <c r="F213" s="603"/>
      <c r="G213" s="603"/>
      <c r="H213" s="603"/>
      <c r="I213" s="603"/>
      <c r="J213" s="603"/>
      <c r="K213" s="603"/>
      <c r="L213" s="603"/>
      <c r="M213" s="653"/>
      <c r="N213" s="639"/>
      <c r="O213" s="639"/>
      <c r="P213" s="639"/>
      <c r="Q213" s="639"/>
      <c r="R213" s="639"/>
      <c r="S213" s="645"/>
      <c r="U213" s="603"/>
    </row>
    <row r="214" spans="3:21" x14ac:dyDescent="0.2">
      <c r="C214" s="652"/>
      <c r="D214" s="603"/>
      <c r="E214" s="603"/>
      <c r="F214" s="603"/>
      <c r="G214" s="603"/>
      <c r="H214" s="603"/>
      <c r="I214" s="603"/>
      <c r="J214" s="603"/>
      <c r="K214" s="603"/>
      <c r="L214" s="603"/>
      <c r="M214" s="653"/>
      <c r="N214" s="639"/>
      <c r="O214" s="639"/>
      <c r="P214" s="639"/>
      <c r="Q214" s="639"/>
      <c r="R214" s="639"/>
      <c r="S214" s="645"/>
      <c r="U214" s="603"/>
    </row>
    <row r="215" spans="3:21" x14ac:dyDescent="0.2">
      <c r="C215" s="652"/>
      <c r="D215" s="603"/>
      <c r="E215" s="603"/>
      <c r="F215" s="603"/>
      <c r="G215" s="603"/>
      <c r="H215" s="603"/>
      <c r="I215" s="603"/>
      <c r="J215" s="603"/>
      <c r="K215" s="603"/>
      <c r="L215" s="603"/>
      <c r="M215" s="653"/>
      <c r="N215" s="639"/>
      <c r="O215" s="639"/>
      <c r="P215" s="639"/>
      <c r="Q215" s="639"/>
      <c r="R215" s="639"/>
      <c r="S215" s="645"/>
      <c r="U215" s="603"/>
    </row>
    <row r="216" spans="3:21" x14ac:dyDescent="0.2">
      <c r="C216" s="652"/>
      <c r="D216" s="603"/>
      <c r="E216" s="603"/>
      <c r="F216" s="603"/>
      <c r="G216" s="603"/>
      <c r="H216" s="603"/>
      <c r="I216" s="603"/>
      <c r="J216" s="603"/>
      <c r="K216" s="603"/>
      <c r="L216" s="603"/>
      <c r="M216" s="653"/>
      <c r="N216" s="639"/>
      <c r="O216" s="639"/>
      <c r="P216" s="639"/>
      <c r="Q216" s="639"/>
      <c r="R216" s="639"/>
      <c r="S216" s="645"/>
      <c r="U216" s="603"/>
    </row>
    <row r="217" spans="3:21" x14ac:dyDescent="0.2">
      <c r="C217" s="652"/>
      <c r="D217" s="603"/>
      <c r="E217" s="603"/>
      <c r="F217" s="603"/>
      <c r="G217" s="603"/>
      <c r="H217" s="603"/>
      <c r="I217" s="603"/>
      <c r="J217" s="603"/>
      <c r="K217" s="603"/>
      <c r="L217" s="603"/>
      <c r="M217" s="653"/>
      <c r="N217" s="639"/>
      <c r="O217" s="639"/>
      <c r="P217" s="639"/>
      <c r="Q217" s="639"/>
      <c r="R217" s="639"/>
      <c r="S217" s="645"/>
      <c r="U217" s="603"/>
    </row>
    <row r="218" spans="3:21" x14ac:dyDescent="0.2">
      <c r="C218" s="652"/>
      <c r="D218" s="603"/>
      <c r="E218" s="603"/>
      <c r="F218" s="603"/>
      <c r="G218" s="603"/>
      <c r="H218" s="603"/>
      <c r="I218" s="603"/>
      <c r="J218" s="603"/>
      <c r="K218" s="603"/>
      <c r="L218" s="603"/>
      <c r="M218" s="653"/>
      <c r="N218" s="639"/>
      <c r="O218" s="639"/>
      <c r="P218" s="639"/>
      <c r="Q218" s="639"/>
      <c r="R218" s="639"/>
      <c r="S218" s="645"/>
      <c r="U218" s="603"/>
    </row>
    <row r="219" spans="3:21" x14ac:dyDescent="0.2">
      <c r="C219" s="652"/>
      <c r="D219" s="603"/>
      <c r="E219" s="603"/>
      <c r="F219" s="603"/>
      <c r="G219" s="603"/>
      <c r="H219" s="603"/>
      <c r="I219" s="603"/>
      <c r="J219" s="603"/>
      <c r="K219" s="603"/>
      <c r="L219" s="603"/>
      <c r="M219" s="653"/>
      <c r="N219" s="639"/>
      <c r="O219" s="639"/>
      <c r="P219" s="639"/>
      <c r="Q219" s="639"/>
      <c r="R219" s="639"/>
      <c r="S219" s="645"/>
      <c r="U219" s="603"/>
    </row>
    <row r="220" spans="3:21" x14ac:dyDescent="0.2">
      <c r="C220" s="655"/>
      <c r="D220" s="656"/>
      <c r="E220" s="656"/>
      <c r="F220" s="656"/>
      <c r="G220" s="656"/>
      <c r="H220" s="656"/>
      <c r="I220" s="656"/>
      <c r="J220" s="656"/>
      <c r="K220" s="656"/>
      <c r="L220" s="656"/>
      <c r="M220" s="657"/>
      <c r="N220" s="639"/>
      <c r="O220" s="639"/>
      <c r="P220" s="639"/>
      <c r="Q220" s="639"/>
      <c r="R220" s="639"/>
      <c r="S220" s="645"/>
      <c r="U220" s="656"/>
    </row>
    <row r="221" spans="3:21" x14ac:dyDescent="0.2">
      <c r="L221" s="639"/>
      <c r="M221" s="639"/>
      <c r="N221" s="639"/>
      <c r="O221" s="639"/>
      <c r="P221" s="639"/>
      <c r="Q221" s="639"/>
      <c r="R221" s="639"/>
      <c r="S221" s="645"/>
    </row>
    <row r="222" spans="3:21" x14ac:dyDescent="0.2">
      <c r="P222" s="639"/>
      <c r="Q222" s="639"/>
    </row>
    <row r="223" spans="3:21" x14ac:dyDescent="0.2">
      <c r="C223" s="647" t="s">
        <v>406</v>
      </c>
      <c r="D223" s="648"/>
      <c r="E223" s="648"/>
      <c r="F223" s="648"/>
      <c r="G223" s="648"/>
      <c r="H223" s="649"/>
      <c r="I223" s="649"/>
      <c r="J223" s="649"/>
      <c r="K223" s="649"/>
      <c r="L223" s="649"/>
      <c r="M223" s="650"/>
      <c r="U223" s="648"/>
    </row>
    <row r="224" spans="3:21" ht="27" customHeight="1" x14ac:dyDescent="0.2">
      <c r="C224" s="615" t="s">
        <v>407</v>
      </c>
      <c r="D224" s="615"/>
      <c r="E224" s="658" t="s">
        <v>408</v>
      </c>
      <c r="F224" s="659"/>
      <c r="G224" s="658" t="s">
        <v>409</v>
      </c>
      <c r="H224" s="659"/>
      <c r="I224" s="660" t="s">
        <v>49</v>
      </c>
      <c r="J224" s="660"/>
      <c r="K224" s="660"/>
      <c r="L224" s="660"/>
      <c r="M224" s="660"/>
      <c r="U224" s="616" t="s">
        <v>410</v>
      </c>
    </row>
    <row r="225" spans="3:21" x14ac:dyDescent="0.2">
      <c r="C225" s="661" t="s">
        <v>411</v>
      </c>
      <c r="D225" s="661"/>
      <c r="E225" s="652">
        <f>'Renovations, Additions &amp; Prtbls'!C39</f>
        <v>0</v>
      </c>
      <c r="F225" s="653"/>
      <c r="G225" s="662">
        <f>'Renovations, Additions &amp; Prtbls'!D39</f>
        <v>0</v>
      </c>
      <c r="H225" s="663"/>
      <c r="I225" s="655">
        <f>'Renovations, Additions &amp; Prtbls'!E39</f>
        <v>0</v>
      </c>
      <c r="J225" s="656"/>
      <c r="K225" s="656"/>
      <c r="L225" s="656"/>
      <c r="M225" s="657"/>
      <c r="U225" s="661">
        <v>0</v>
      </c>
    </row>
    <row r="226" spans="3:21" x14ac:dyDescent="0.2">
      <c r="C226" s="661">
        <v>0</v>
      </c>
      <c r="D226" s="661"/>
      <c r="E226" s="652">
        <f>'Renovations, Additions &amp; Prtbls'!C40</f>
        <v>0</v>
      </c>
      <c r="F226" s="653"/>
      <c r="G226" s="662">
        <f>'Renovations, Additions &amp; Prtbls'!D40</f>
        <v>0</v>
      </c>
      <c r="H226" s="663"/>
      <c r="I226" s="655">
        <f>'Renovations, Additions &amp; Prtbls'!E40</f>
        <v>0</v>
      </c>
      <c r="J226" s="656"/>
      <c r="K226" s="656"/>
      <c r="L226" s="656"/>
      <c r="M226" s="657"/>
      <c r="U226" s="661">
        <v>0</v>
      </c>
    </row>
    <row r="227" spans="3:21" x14ac:dyDescent="0.2">
      <c r="C227" s="661">
        <v>0</v>
      </c>
      <c r="D227" s="661"/>
      <c r="E227" s="652">
        <f>'Renovations, Additions &amp; Prtbls'!C41</f>
        <v>0</v>
      </c>
      <c r="F227" s="653"/>
      <c r="G227" s="662">
        <f>'Renovations, Additions &amp; Prtbls'!D41</f>
        <v>0</v>
      </c>
      <c r="H227" s="663"/>
      <c r="I227" s="655">
        <f>'Renovations, Additions &amp; Prtbls'!E41</f>
        <v>0</v>
      </c>
      <c r="J227" s="656"/>
      <c r="K227" s="656"/>
      <c r="L227" s="656"/>
      <c r="M227" s="657"/>
      <c r="U227" s="661">
        <v>0</v>
      </c>
    </row>
    <row r="228" spans="3:21" x14ac:dyDescent="0.2">
      <c r="C228" s="661">
        <v>0</v>
      </c>
      <c r="D228" s="661"/>
      <c r="E228" s="652">
        <f>'Renovations, Additions &amp; Prtbls'!C42</f>
        <v>0</v>
      </c>
      <c r="F228" s="653"/>
      <c r="G228" s="662">
        <f>'Renovations, Additions &amp; Prtbls'!D42</f>
        <v>0</v>
      </c>
      <c r="H228" s="663"/>
      <c r="I228" s="655">
        <f>'Renovations, Additions &amp; Prtbls'!E42</f>
        <v>0</v>
      </c>
      <c r="J228" s="656"/>
      <c r="K228" s="656"/>
      <c r="L228" s="656"/>
      <c r="M228" s="657"/>
      <c r="U228" s="661">
        <v>0</v>
      </c>
    </row>
    <row r="229" spans="3:21" x14ac:dyDescent="0.2">
      <c r="C229" s="661">
        <v>0</v>
      </c>
      <c r="D229" s="661"/>
      <c r="E229" s="652">
        <f>'Renovations, Additions &amp; Prtbls'!C43</f>
        <v>0</v>
      </c>
      <c r="F229" s="653"/>
      <c r="G229" s="662">
        <f>'Renovations, Additions &amp; Prtbls'!D43</f>
        <v>0</v>
      </c>
      <c r="H229" s="663"/>
      <c r="I229" s="655">
        <f>'Renovations, Additions &amp; Prtbls'!E43</f>
        <v>0</v>
      </c>
      <c r="J229" s="656"/>
      <c r="K229" s="656"/>
      <c r="L229" s="656"/>
      <c r="M229" s="657"/>
      <c r="U229" s="661">
        <v>0</v>
      </c>
    </row>
    <row r="230" spans="3:21" x14ac:dyDescent="0.2">
      <c r="C230" s="661">
        <v>0</v>
      </c>
      <c r="D230" s="661"/>
      <c r="E230" s="652">
        <f>'Renovations, Additions &amp; Prtbls'!C44</f>
        <v>0</v>
      </c>
      <c r="F230" s="653"/>
      <c r="G230" s="662">
        <f>'Renovations, Additions &amp; Prtbls'!D44</f>
        <v>0</v>
      </c>
      <c r="H230" s="663"/>
      <c r="I230" s="655">
        <f>'Renovations, Additions &amp; Prtbls'!E44</f>
        <v>0</v>
      </c>
      <c r="J230" s="656"/>
      <c r="K230" s="656"/>
      <c r="L230" s="656"/>
      <c r="M230" s="657"/>
      <c r="U230" s="661">
        <v>0</v>
      </c>
    </row>
    <row r="231" spans="3:21" x14ac:dyDescent="0.2">
      <c r="C231" s="661">
        <v>0</v>
      </c>
      <c r="D231" s="661"/>
      <c r="E231" s="652">
        <f>'Renovations, Additions &amp; Prtbls'!C45</f>
        <v>0</v>
      </c>
      <c r="F231" s="653"/>
      <c r="G231" s="662">
        <f>'Renovations, Additions &amp; Prtbls'!D45</f>
        <v>0</v>
      </c>
      <c r="H231" s="663"/>
      <c r="I231" s="655">
        <f>'Renovations, Additions &amp; Prtbls'!E45</f>
        <v>0</v>
      </c>
      <c r="J231" s="656"/>
      <c r="K231" s="656"/>
      <c r="L231" s="656"/>
      <c r="M231" s="657"/>
      <c r="U231" s="661">
        <v>0</v>
      </c>
    </row>
    <row r="232" spans="3:21" x14ac:dyDescent="0.2">
      <c r="C232" s="661">
        <v>0</v>
      </c>
      <c r="D232" s="661"/>
      <c r="E232" s="652">
        <f>'Renovations, Additions &amp; Prtbls'!C46</f>
        <v>0</v>
      </c>
      <c r="F232" s="653"/>
      <c r="G232" s="662">
        <f>'Renovations, Additions &amp; Prtbls'!D46</f>
        <v>0</v>
      </c>
      <c r="H232" s="663"/>
      <c r="I232" s="655">
        <f>'Renovations, Additions &amp; Prtbls'!E46</f>
        <v>0</v>
      </c>
      <c r="J232" s="656"/>
      <c r="K232" s="656"/>
      <c r="L232" s="656"/>
      <c r="M232" s="657"/>
      <c r="U232" s="661">
        <v>0</v>
      </c>
    </row>
    <row r="233" spans="3:21" x14ac:dyDescent="0.2">
      <c r="C233" s="661">
        <v>0</v>
      </c>
      <c r="D233" s="661"/>
      <c r="E233" s="652">
        <f>'Renovations, Additions &amp; Prtbls'!C47</f>
        <v>0</v>
      </c>
      <c r="F233" s="653"/>
      <c r="G233" s="662">
        <f>'Renovations, Additions &amp; Prtbls'!D47</f>
        <v>0</v>
      </c>
      <c r="H233" s="663"/>
      <c r="I233" s="655">
        <f>'Renovations, Additions &amp; Prtbls'!E47</f>
        <v>0</v>
      </c>
      <c r="J233" s="656"/>
      <c r="K233" s="656"/>
      <c r="L233" s="656"/>
      <c r="M233" s="657"/>
      <c r="U233" s="661">
        <v>0</v>
      </c>
    </row>
    <row r="234" spans="3:21" x14ac:dyDescent="0.2">
      <c r="C234" s="661">
        <v>0</v>
      </c>
      <c r="D234" s="661"/>
      <c r="E234" s="652">
        <f>'Renovations, Additions &amp; Prtbls'!C48</f>
        <v>0</v>
      </c>
      <c r="F234" s="653"/>
      <c r="G234" s="662">
        <f>'Renovations, Additions &amp; Prtbls'!D48</f>
        <v>0</v>
      </c>
      <c r="H234" s="663"/>
      <c r="I234" s="655">
        <f>'Renovations, Additions &amp; Prtbls'!E48</f>
        <v>0</v>
      </c>
      <c r="J234" s="656"/>
      <c r="K234" s="656"/>
      <c r="L234" s="656"/>
      <c r="M234" s="657"/>
      <c r="U234" s="661">
        <v>0</v>
      </c>
    </row>
    <row r="235" spans="3:21" x14ac:dyDescent="0.2">
      <c r="C235" s="661">
        <v>0</v>
      </c>
      <c r="D235" s="661"/>
      <c r="E235" s="652">
        <f>'Renovations, Additions &amp; Prtbls'!C49</f>
        <v>0</v>
      </c>
      <c r="F235" s="653"/>
      <c r="G235" s="662">
        <f>'Renovations, Additions &amp; Prtbls'!D49</f>
        <v>0</v>
      </c>
      <c r="H235" s="663"/>
      <c r="I235" s="655">
        <f>'Renovations, Additions &amp; Prtbls'!E49</f>
        <v>0</v>
      </c>
      <c r="J235" s="656"/>
      <c r="K235" s="656"/>
      <c r="L235" s="656"/>
      <c r="M235" s="657"/>
      <c r="U235" s="661">
        <v>0</v>
      </c>
    </row>
    <row r="236" spans="3:21" x14ac:dyDescent="0.2">
      <c r="C236" s="661">
        <v>0</v>
      </c>
      <c r="D236" s="661"/>
      <c r="E236" s="652">
        <f>'Renovations, Additions &amp; Prtbls'!C50</f>
        <v>0</v>
      </c>
      <c r="F236" s="653"/>
      <c r="G236" s="662">
        <f>'Renovations, Additions &amp; Prtbls'!D50</f>
        <v>0</v>
      </c>
      <c r="H236" s="663"/>
      <c r="I236" s="655">
        <f>'Renovations, Additions &amp; Prtbls'!E50</f>
        <v>0</v>
      </c>
      <c r="J236" s="656"/>
      <c r="K236" s="656"/>
      <c r="L236" s="656"/>
      <c r="M236" s="657"/>
      <c r="U236" s="661">
        <v>0</v>
      </c>
    </row>
    <row r="237" spans="3:21" x14ac:dyDescent="0.2">
      <c r="C237" s="661">
        <v>0</v>
      </c>
      <c r="D237" s="661"/>
      <c r="E237" s="652">
        <f>'Renovations, Additions &amp; Prtbls'!C51</f>
        <v>0</v>
      </c>
      <c r="F237" s="653"/>
      <c r="G237" s="662">
        <f>'Renovations, Additions &amp; Prtbls'!D51</f>
        <v>0</v>
      </c>
      <c r="H237" s="663"/>
      <c r="I237" s="655">
        <f>'Renovations, Additions &amp; Prtbls'!E51</f>
        <v>0</v>
      </c>
      <c r="J237" s="656"/>
      <c r="K237" s="656"/>
      <c r="L237" s="656"/>
      <c r="M237" s="657"/>
      <c r="U237" s="661">
        <v>0</v>
      </c>
    </row>
    <row r="238" spans="3:21" x14ac:dyDescent="0.2">
      <c r="C238" s="661">
        <v>0</v>
      </c>
      <c r="D238" s="661"/>
      <c r="E238" s="652">
        <f>'Renovations, Additions &amp; Prtbls'!C52</f>
        <v>0</v>
      </c>
      <c r="F238" s="653"/>
      <c r="G238" s="662">
        <f>'Renovations, Additions &amp; Prtbls'!D52</f>
        <v>0</v>
      </c>
      <c r="H238" s="663"/>
      <c r="I238" s="655">
        <f>'Renovations, Additions &amp; Prtbls'!E52</f>
        <v>0</v>
      </c>
      <c r="J238" s="656"/>
      <c r="K238" s="656"/>
      <c r="L238" s="656"/>
      <c r="M238" s="657"/>
      <c r="U238" s="661">
        <v>0</v>
      </c>
    </row>
    <row r="239" spans="3:21" x14ac:dyDescent="0.2">
      <c r="C239" s="661">
        <v>0</v>
      </c>
      <c r="D239" s="661"/>
      <c r="E239" s="652">
        <f>'Renovations, Additions &amp; Prtbls'!C53</f>
        <v>0</v>
      </c>
      <c r="F239" s="653"/>
      <c r="G239" s="662">
        <f>'Renovations, Additions &amp; Prtbls'!D53</f>
        <v>0</v>
      </c>
      <c r="H239" s="663"/>
      <c r="I239" s="655">
        <f>'Renovations, Additions &amp; Prtbls'!E53</f>
        <v>0</v>
      </c>
      <c r="J239" s="656"/>
      <c r="K239" s="656"/>
      <c r="L239" s="656"/>
      <c r="M239" s="657"/>
      <c r="U239" s="661">
        <v>0</v>
      </c>
    </row>
    <row r="240" spans="3:21" x14ac:dyDescent="0.2">
      <c r="C240" s="661">
        <v>0</v>
      </c>
      <c r="D240" s="661"/>
      <c r="E240" s="652">
        <f>'Renovations, Additions &amp; Prtbls'!C54</f>
        <v>0</v>
      </c>
      <c r="F240" s="653"/>
      <c r="G240" s="662">
        <f>'Renovations, Additions &amp; Prtbls'!D54</f>
        <v>0</v>
      </c>
      <c r="H240" s="663"/>
      <c r="I240" s="655">
        <f>'Renovations, Additions &amp; Prtbls'!E54</f>
        <v>0</v>
      </c>
      <c r="J240" s="656"/>
      <c r="K240" s="656"/>
      <c r="L240" s="656"/>
      <c r="M240" s="657"/>
      <c r="U240" s="661">
        <v>0</v>
      </c>
    </row>
    <row r="241" spans="3:52" x14ac:dyDescent="0.2">
      <c r="C241" s="661">
        <v>0</v>
      </c>
      <c r="D241" s="661"/>
      <c r="E241" s="652">
        <f>'Renovations, Additions &amp; Prtbls'!C55</f>
        <v>0</v>
      </c>
      <c r="F241" s="653"/>
      <c r="G241" s="662">
        <f>'Renovations, Additions &amp; Prtbls'!D55</f>
        <v>0</v>
      </c>
      <c r="H241" s="663"/>
      <c r="I241" s="655">
        <f>'Renovations, Additions &amp; Prtbls'!E55</f>
        <v>0</v>
      </c>
      <c r="J241" s="656"/>
      <c r="K241" s="656"/>
      <c r="L241" s="656"/>
      <c r="M241" s="657"/>
      <c r="U241" s="661">
        <v>0</v>
      </c>
    </row>
    <row r="242" spans="3:52" x14ac:dyDescent="0.2">
      <c r="C242" s="661">
        <v>0</v>
      </c>
      <c r="D242" s="661"/>
      <c r="E242" s="652">
        <f>'Renovations, Additions &amp; Prtbls'!C56</f>
        <v>0</v>
      </c>
      <c r="F242" s="653"/>
      <c r="G242" s="662">
        <f>'Renovations, Additions &amp; Prtbls'!D56</f>
        <v>0</v>
      </c>
      <c r="H242" s="663"/>
      <c r="I242" s="655">
        <f>'Renovations, Additions &amp; Prtbls'!E56</f>
        <v>0</v>
      </c>
      <c r="J242" s="656"/>
      <c r="K242" s="656"/>
      <c r="L242" s="656"/>
      <c r="M242" s="657"/>
      <c r="U242" s="661">
        <v>0</v>
      </c>
    </row>
    <row r="243" spans="3:52" x14ac:dyDescent="0.2">
      <c r="C243" s="661">
        <v>0</v>
      </c>
      <c r="D243" s="661"/>
      <c r="E243" s="652">
        <f>'Renovations, Additions &amp; Prtbls'!C57</f>
        <v>0</v>
      </c>
      <c r="F243" s="653"/>
      <c r="G243" s="662">
        <f>'Renovations, Additions &amp; Prtbls'!D57</f>
        <v>0</v>
      </c>
      <c r="H243" s="663"/>
      <c r="I243" s="655">
        <f>'Renovations, Additions &amp; Prtbls'!E57</f>
        <v>0</v>
      </c>
      <c r="J243" s="656"/>
      <c r="K243" s="656"/>
      <c r="L243" s="656"/>
      <c r="M243" s="657"/>
      <c r="U243" s="661">
        <v>0</v>
      </c>
    </row>
    <row r="244" spans="3:52" x14ac:dyDescent="0.2">
      <c r="C244" s="661">
        <v>0</v>
      </c>
      <c r="D244" s="661"/>
      <c r="E244" s="652">
        <f>'Renovations, Additions &amp; Prtbls'!C58</f>
        <v>0</v>
      </c>
      <c r="F244" s="653"/>
      <c r="G244" s="662">
        <f>'Renovations, Additions &amp; Prtbls'!D58</f>
        <v>0</v>
      </c>
      <c r="H244" s="663"/>
      <c r="I244" s="655">
        <f>'Renovations, Additions &amp; Prtbls'!E58</f>
        <v>0</v>
      </c>
      <c r="J244" s="656"/>
      <c r="K244" s="656"/>
      <c r="L244" s="656"/>
      <c r="M244" s="657"/>
      <c r="U244" s="661">
        <v>0</v>
      </c>
    </row>
    <row r="245" spans="3:52" x14ac:dyDescent="0.2">
      <c r="C245" s="661">
        <v>0</v>
      </c>
      <c r="D245" s="661"/>
      <c r="E245" s="652">
        <f>'Renovations, Additions &amp; Prtbls'!C59</f>
        <v>0</v>
      </c>
      <c r="F245" s="653"/>
      <c r="G245" s="662">
        <f>'Renovations, Additions &amp; Prtbls'!D59</f>
        <v>0</v>
      </c>
      <c r="H245" s="663"/>
      <c r="I245" s="655">
        <f>'Renovations, Additions &amp; Prtbls'!E59</f>
        <v>0</v>
      </c>
      <c r="J245" s="656"/>
      <c r="K245" s="656"/>
      <c r="L245" s="656"/>
      <c r="M245" s="657"/>
      <c r="U245" s="661">
        <v>0</v>
      </c>
    </row>
    <row r="246" spans="3:52" x14ac:dyDescent="0.2">
      <c r="AZ246" s="514"/>
    </row>
    <row r="247" spans="3:52" ht="16" thickBot="1" x14ac:dyDescent="0.25"/>
    <row r="248" spans="3:52" s="514" customFormat="1" ht="16" thickBot="1" x14ac:dyDescent="0.25">
      <c r="C248" s="664" t="s">
        <v>412</v>
      </c>
      <c r="D248" s="665"/>
      <c r="E248" s="666" t="s">
        <v>413</v>
      </c>
      <c r="F248" s="666"/>
      <c r="G248" s="667" t="s">
        <v>414</v>
      </c>
      <c r="Q248" s="537"/>
      <c r="T248" s="668"/>
      <c r="U248" s="666" t="s">
        <v>415</v>
      </c>
      <c r="AE248" s="469"/>
      <c r="AF248" s="469"/>
      <c r="AG248" s="469"/>
      <c r="AH248" s="469"/>
      <c r="AI248" s="469"/>
      <c r="AJ248" s="470"/>
      <c r="AK248" s="470"/>
      <c r="AL248" s="471"/>
      <c r="AM248" s="469"/>
      <c r="AN248" s="469"/>
      <c r="AO248" s="469"/>
      <c r="AP248" s="472"/>
      <c r="AQ248" s="472"/>
      <c r="AR248" s="704"/>
      <c r="AS248" s="704"/>
      <c r="AT248" s="473"/>
      <c r="AU248" s="472"/>
      <c r="AV248" s="472"/>
      <c r="AW248" s="472"/>
      <c r="AX248" s="472"/>
      <c r="AY248" s="472"/>
      <c r="AZ248" s="502"/>
    </row>
    <row r="249" spans="3:52" x14ac:dyDescent="0.2">
      <c r="C249" s="669"/>
      <c r="D249" s="670"/>
      <c r="E249" s="671"/>
      <c r="F249" s="672"/>
      <c r="G249" s="673"/>
      <c r="Q249" s="514"/>
      <c r="U249" s="674"/>
    </row>
    <row r="250" spans="3:52" x14ac:dyDescent="0.2">
      <c r="C250" s="675"/>
      <c r="D250" s="676"/>
      <c r="E250" s="677"/>
      <c r="F250" s="678"/>
      <c r="G250" s="679"/>
      <c r="U250" s="680"/>
    </row>
    <row r="251" spans="3:52" x14ac:dyDescent="0.2">
      <c r="C251" s="681"/>
      <c r="D251" s="653"/>
      <c r="E251" s="682"/>
      <c r="F251" s="661"/>
      <c r="G251" s="683"/>
      <c r="U251" s="684"/>
    </row>
    <row r="252" spans="3:52" x14ac:dyDescent="0.2">
      <c r="C252" s="681"/>
      <c r="D252" s="653"/>
      <c r="E252" s="682"/>
      <c r="F252" s="661"/>
      <c r="G252" s="683"/>
      <c r="U252" s="684"/>
    </row>
    <row r="253" spans="3:52" x14ac:dyDescent="0.2">
      <c r="C253" s="681"/>
      <c r="D253" s="653"/>
      <c r="E253" s="682"/>
      <c r="F253" s="661"/>
      <c r="G253" s="683"/>
      <c r="U253" s="684"/>
    </row>
    <row r="254" spans="3:52" x14ac:dyDescent="0.2">
      <c r="C254" s="681"/>
      <c r="D254" s="653"/>
      <c r="E254" s="682"/>
      <c r="F254" s="661"/>
      <c r="G254" s="683"/>
      <c r="U254" s="684"/>
    </row>
    <row r="255" spans="3:52" x14ac:dyDescent="0.2">
      <c r="C255" s="681"/>
      <c r="D255" s="653"/>
      <c r="E255" s="682"/>
      <c r="F255" s="661"/>
      <c r="G255" s="683"/>
      <c r="U255" s="684"/>
    </row>
    <row r="256" spans="3:52" x14ac:dyDescent="0.2">
      <c r="C256" s="681"/>
      <c r="D256" s="653"/>
      <c r="E256" s="682"/>
      <c r="F256" s="661"/>
      <c r="G256" s="683"/>
      <c r="U256" s="684"/>
    </row>
    <row r="257" spans="3:21" x14ac:dyDescent="0.2">
      <c r="C257" s="681"/>
      <c r="D257" s="653"/>
      <c r="E257" s="682"/>
      <c r="F257" s="661"/>
      <c r="G257" s="683"/>
      <c r="U257" s="684"/>
    </row>
    <row r="258" spans="3:21" x14ac:dyDescent="0.2">
      <c r="C258" s="681"/>
      <c r="D258" s="653"/>
      <c r="E258" s="682"/>
      <c r="F258" s="661"/>
      <c r="G258" s="683"/>
      <c r="U258" s="684"/>
    </row>
    <row r="259" spans="3:21" x14ac:dyDescent="0.2">
      <c r="C259" s="681"/>
      <c r="D259" s="653"/>
      <c r="E259" s="682"/>
      <c r="F259" s="661"/>
      <c r="G259" s="683"/>
      <c r="U259" s="684"/>
    </row>
    <row r="260" spans="3:21" x14ac:dyDescent="0.2">
      <c r="C260" s="681"/>
      <c r="D260" s="653"/>
      <c r="E260" s="682"/>
      <c r="F260" s="661"/>
      <c r="G260" s="683"/>
      <c r="U260" s="684"/>
    </row>
    <row r="261" spans="3:21" x14ac:dyDescent="0.2">
      <c r="C261" s="681"/>
      <c r="D261" s="653"/>
      <c r="E261" s="682"/>
      <c r="F261" s="661"/>
      <c r="G261" s="683"/>
      <c r="U261" s="684"/>
    </row>
    <row r="262" spans="3:21" ht="16" thickBot="1" x14ac:dyDescent="0.25">
      <c r="C262" s="685"/>
      <c r="D262" s="686"/>
      <c r="E262" s="687"/>
      <c r="F262" s="688"/>
      <c r="G262" s="689"/>
      <c r="U262" s="690"/>
    </row>
    <row r="263" spans="3:21" ht="16" thickBot="1" x14ac:dyDescent="0.25">
      <c r="C263" s="604" t="s">
        <v>416</v>
      </c>
      <c r="D263" s="604"/>
      <c r="U263" s="691">
        <v>0</v>
      </c>
    </row>
  </sheetData>
  <mergeCells count="23">
    <mergeCell ref="W10:Z11"/>
    <mergeCell ref="W13:Z14"/>
    <mergeCell ref="W30:Y30"/>
    <mergeCell ref="W31:X31"/>
    <mergeCell ref="W32:X32"/>
    <mergeCell ref="W34:Y34"/>
    <mergeCell ref="W35:X35"/>
    <mergeCell ref="W66:X66"/>
    <mergeCell ref="W67:X67"/>
    <mergeCell ref="W36:X36"/>
    <mergeCell ref="W61:Y61"/>
    <mergeCell ref="W62:X62"/>
    <mergeCell ref="W63:X63"/>
    <mergeCell ref="W65:Y65"/>
    <mergeCell ref="AS3:AS6"/>
    <mergeCell ref="AT3:AT6"/>
    <mergeCell ref="AV3:AY6"/>
    <mergeCell ref="F7:G7"/>
    <mergeCell ref="H7:I7"/>
    <mergeCell ref="J7:K7"/>
    <mergeCell ref="L7:M7"/>
    <mergeCell ref="N7:O7"/>
    <mergeCell ref="F6:O6"/>
  </mergeCells>
  <conditionalFormatting sqref="AJ10:AJ12 AJ15 AJ18:AJ23 AJ25:AJ39 AJ41:AJ50 AJ53:AJ63 AJ65:AJ71 AJ73:AJ91 AJ94:AJ96 AJ98:AJ102 AJ104:AJ117 AJ120:AJ123 AJ125:AJ134 AJ137:AJ142 AJ146:AJ147 AJ152:AJ156 AJ158:AJ165 AJ167:AJ170">
    <cfRule type="expression" dxfId="17" priority="6">
      <formula>$AF10="X"</formula>
    </cfRule>
  </conditionalFormatting>
  <conditionalFormatting sqref="AK10:AK12 AK15 AK18:AK23 AK25:AK39 AK41:AK50 AK53:AK63 AK65:AK71 AK73:AK91 AK94:AK96 AK98:AK102 AK104:AK117 AK120:AK123 AK125:AK134 AK137:AK142 AK146:AK147 AK152:AK156 AK158:AK165 AK167:AK170">
    <cfRule type="expression" dxfId="16" priority="5">
      <formula>$AG10="X"</formula>
    </cfRule>
  </conditionalFormatting>
  <conditionalFormatting sqref="AL1:AO12 AM13:AO14 AL15:AO15 AM16:AO17 AL18:AO23 AM24:AO24 AL25:AO39 AN40:AO40 AL41:AO50 AN51:AO52 AL53:AO63 AN64:AO64 AL65:AO91 AM92:AO93 AL94:AO96 AM97:AO97 AL98:AO102 AM103:AO103 AL104:AO117 AN118:AO119 AL120:AO123 AN124:AO124 AL125:AO134 AM135:AO136 AL137:AO142 AN143:AO145 AL146:AO147 AN148:AO151 AL152:AO156 AO157 AL158:AO165 AO166 AL167:AO1048576">
    <cfRule type="containsText" dxfId="15" priority="7" operator="containsText" text="FALSE">
      <formula>NOT(ISERROR(SEARCH("FALSE",AL1)))</formula>
    </cfRule>
  </conditionalFormatting>
  <conditionalFormatting sqref="AQ1:AQ1048576">
    <cfRule type="containsErrors" dxfId="14" priority="4">
      <formula>ISERROR(AQ1)</formula>
    </cfRule>
  </conditionalFormatting>
  <conditionalFormatting sqref="AT1:AY2 AE1:AS3 AT3:AV3 AE4:AR6 AU4:AU6 AE7:AQ7 AE8:AY1048576">
    <cfRule type="containsErrors" dxfId="13" priority="1">
      <formula>ISERROR(AE1)</formula>
    </cfRule>
  </conditionalFormatting>
  <pageMargins left="0.7" right="0.7" top="0.75" bottom="0.75" header="0.3" footer="0.3"/>
  <pageSetup paperSize="17" scale="73" fitToHeight="0" orientation="landscape" useFirstPageNumber="1" r:id="rId1"/>
  <headerFooter>
    <oddHeader>&amp;C&amp;"-,Bold"&amp;A</oddHeader>
    <oddFooter>&amp;LPage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2D15E3-3937-48B1-8E49-7139DC49EE3E}">
  <sheetPr codeName="Sheet3">
    <tabColor theme="5" tint="0.79998168889431442"/>
  </sheetPr>
  <dimension ref="A1:AD130"/>
  <sheetViews>
    <sheetView zoomScaleNormal="100" workbookViewId="0">
      <selection activeCell="A2" sqref="A2:A4"/>
    </sheetView>
  </sheetViews>
  <sheetFormatPr baseColWidth="10" defaultColWidth="9.1640625" defaultRowHeight="15" x14ac:dyDescent="0.2"/>
  <cols>
    <col min="1" max="1" width="50.33203125" style="502" bestFit="1" customWidth="1"/>
    <col min="2" max="2" width="7.33203125" style="469" bestFit="1" customWidth="1"/>
    <col min="3" max="8" width="5.5" style="469" customWidth="1"/>
    <col min="9" max="9" width="5.5" style="525" customWidth="1"/>
    <col min="10" max="10" width="15.5" style="471" customWidth="1"/>
    <col min="11" max="11" width="5.5" style="469" customWidth="1"/>
    <col min="12" max="12" width="25.6640625" style="502" bestFit="1" customWidth="1"/>
    <col min="13" max="13" width="4.33203125" style="502" bestFit="1" customWidth="1"/>
    <col min="14" max="14" width="18" style="472" bestFit="1" customWidth="1"/>
    <col min="15" max="15" width="11.6640625" style="526" bestFit="1" customWidth="1"/>
    <col min="16" max="17" width="9.1640625" style="502"/>
    <col min="18" max="18" width="57.6640625" style="502" bestFit="1" customWidth="1"/>
    <col min="19" max="19" width="57.6640625" style="502" customWidth="1"/>
    <col min="20" max="20" width="9.1640625" style="95"/>
    <col min="21" max="21" width="44.83203125" style="95" bestFit="1" customWidth="1"/>
    <col min="22" max="22" width="45.5" style="95" bestFit="1" customWidth="1"/>
    <col min="23" max="24" width="23.33203125" style="95" bestFit="1" customWidth="1"/>
    <col min="25" max="25" width="23.33203125" style="95" customWidth="1"/>
    <col min="26" max="26" width="20.1640625" style="95" bestFit="1" customWidth="1"/>
    <col min="27" max="27" width="16.33203125" style="95" bestFit="1" customWidth="1"/>
    <col min="28" max="29" width="9.1640625" style="95"/>
    <col min="30" max="16384" width="9.1640625" style="502"/>
  </cols>
  <sheetData>
    <row r="1" spans="1:29" s="524" customFormat="1" ht="98" customHeight="1" x14ac:dyDescent="0.2">
      <c r="A1" s="515" t="s">
        <v>417</v>
      </c>
      <c r="B1" s="516" t="s">
        <v>40</v>
      </c>
      <c r="C1" s="516" t="s">
        <v>41</v>
      </c>
      <c r="D1" s="516" t="s">
        <v>42</v>
      </c>
      <c r="E1" s="516" t="s">
        <v>43</v>
      </c>
      <c r="F1" s="516" t="s">
        <v>44</v>
      </c>
      <c r="G1" s="516" t="s">
        <v>45</v>
      </c>
      <c r="H1" s="516" t="s">
        <v>46</v>
      </c>
      <c r="I1" s="517" t="s">
        <v>47</v>
      </c>
      <c r="J1" s="518" t="s">
        <v>48</v>
      </c>
      <c r="K1" s="516" t="s">
        <v>49</v>
      </c>
      <c r="L1" s="515" t="s">
        <v>418</v>
      </c>
      <c r="M1" s="516" t="s">
        <v>51</v>
      </c>
      <c r="N1" s="518" t="s">
        <v>419</v>
      </c>
      <c r="O1" s="517" t="s">
        <v>420</v>
      </c>
      <c r="P1" s="516" t="s">
        <v>421</v>
      </c>
      <c r="Q1" s="516"/>
      <c r="R1" s="519" t="s">
        <v>422</v>
      </c>
      <c r="S1" s="519" t="s">
        <v>423</v>
      </c>
      <c r="T1" s="520" t="s">
        <v>424</v>
      </c>
      <c r="U1" s="520"/>
      <c r="V1" s="520"/>
      <c r="W1" s="521">
        <v>1</v>
      </c>
      <c r="X1" s="521">
        <v>5</v>
      </c>
      <c r="Y1" s="521">
        <v>4</v>
      </c>
      <c r="Z1" s="522">
        <v>3</v>
      </c>
      <c r="AA1" s="522">
        <v>2</v>
      </c>
      <c r="AB1" s="523"/>
      <c r="AC1" s="523"/>
    </row>
    <row r="2" spans="1:29" x14ac:dyDescent="0.2">
      <c r="A2" s="502" t="s">
        <v>128</v>
      </c>
      <c r="B2" s="469">
        <f>_xlfn.XLOOKUP($A2,'Physical Condition Assessment'!$U:$U,'Physical Condition Assessment'!$E:$E,"!!!!!",0)</f>
        <v>0</v>
      </c>
      <c r="C2" s="469">
        <f>_xlfn.XLOOKUP($A2,'Physical Condition Assessment'!$U:$U,'Physical Condition Assessment'!$F:$F,"!!!!!",0)</f>
        <v>0</v>
      </c>
      <c r="D2" s="469">
        <f>_xlfn.XLOOKUP($A2,'Physical Condition Assessment'!$U:$U,'Physical Condition Assessment'!$H:$H,"!!!!!",0)</f>
        <v>0</v>
      </c>
      <c r="E2" s="469">
        <f>_xlfn.XLOOKUP($A2,'Physical Condition Assessment'!$U:$U,'Physical Condition Assessment'!$J:$J,"!!!!!",0)</f>
        <v>0</v>
      </c>
      <c r="F2" s="469">
        <f>_xlfn.XLOOKUP($A2,'Physical Condition Assessment'!$U:$U,'Physical Condition Assessment'!$L:$L,"!!!!!",0)</f>
        <v>0</v>
      </c>
      <c r="G2" s="469">
        <f>_xlfn.XLOOKUP($A2,'Physical Condition Assessment'!$U:$U,'Physical Condition Assessment'!$N:$N,"!!!!!",0)</f>
        <v>0</v>
      </c>
      <c r="H2" s="469">
        <f>_xlfn.XLOOKUP($A2,'Physical Condition Assessment'!$U:$U,'Physical Condition Assessment'!$P:$P,"!!!!!",0)</f>
        <v>0</v>
      </c>
      <c r="I2" s="525">
        <f>_xlfn.XLOOKUP($A2,'Physical Condition Assessment'!$U:$U,'Physical Condition Assessment'!$R:$R,"!!!!!",0)</f>
        <v>0</v>
      </c>
      <c r="J2" s="471">
        <f>_xlfn.XLOOKUP($A2,'Physical Condition Assessment'!$U:$U,'Physical Condition Assessment'!$S:$S,"!!!!!",0)</f>
        <v>0</v>
      </c>
      <c r="K2" s="469">
        <f>_xlfn.XLOOKUP($A2,'Physical Condition Assessment'!$U:$U,'Physical Condition Assessment'!$T:$T,"!!!!!",0)</f>
        <v>0</v>
      </c>
      <c r="L2" s="502" t="str">
        <f>_xlfn.XLOOKUP($A2,'Physical Condition Assessment'!$U:$U,'Physical Condition Assessment'!$V:$V,"missing",0)</f>
        <v>Doors</v>
      </c>
      <c r="M2" s="469" t="str">
        <f>_xlfn.XLOOKUP($A2,'Physical Condition Assessment'!$U:$U,'Physical Condition Assessment'!$AE:$AE,"!!!!!",0)</f>
        <v>Unit</v>
      </c>
      <c r="N2" s="471">
        <f>_xlfn.XLOOKUP($A2,'Physical Condition Assessment'!$U:$U,'Physical Condition Assessment'!$AP:$AP,"!!!!!",0)</f>
        <v>0</v>
      </c>
      <c r="O2" s="526">
        <f t="shared" ref="O2:O66" si="0">IF(J2=0,0,(J2/N2))</f>
        <v>0</v>
      </c>
      <c r="P2" s="502" t="str">
        <f>IF(O2&lt;0.01,"Green",IF(O2&lt;0.499,"Yellow","Red"))</f>
        <v>Green</v>
      </c>
      <c r="R2" s="502" t="str">
        <f>IF(F2="x",($I2*100)&amp;"%"&amp;" "&amp;"of"&amp;" "&amp;$U2&amp;".",IF(G2="x",($I2*100)&amp;"%"&amp;" "&amp;"of"&amp;" "&amp;$U2&amp;".",IF(H2="x",($I2*100)&amp;"%"&amp;" "&amp;"of"&amp;" "&amp;$U2&amp;".","")))</f>
        <v/>
      </c>
      <c r="S2" s="502" t="str">
        <f>IF(D2="x",($I2*100)&amp;"%"&amp;" "&amp;"of"&amp;" "&amp;$U2&amp;" "&amp;"need minor-to-moderate renovations.",IF(E2="x",($I2*100)&amp;"%"&amp;" "&amp;"of"&amp;" "&amp;$U2&amp;" "&amp;"need minor-to-moderate renovations.",IF(I2="x",($I2*100)&amp;"%"&amp;" "&amp;"of"&amp;" "&amp;$U2&amp;" "&amp;"need minor-to-moderate renovations.","")))</f>
        <v/>
      </c>
      <c r="T2" s="95" t="s">
        <v>425</v>
      </c>
      <c r="U2" s="95" t="s">
        <v>426</v>
      </c>
      <c r="V2" s="95" t="s">
        <v>427</v>
      </c>
      <c r="W2" s="95" t="s">
        <v>428</v>
      </c>
      <c r="X2" s="95" t="s">
        <v>125</v>
      </c>
      <c r="Y2" s="95" t="s">
        <v>429</v>
      </c>
      <c r="Z2" s="95" t="s">
        <v>149</v>
      </c>
    </row>
    <row r="3" spans="1:29" x14ac:dyDescent="0.2">
      <c r="A3" s="502" t="s">
        <v>132</v>
      </c>
      <c r="B3" s="469">
        <f>_xlfn.XLOOKUP($A3,'Physical Condition Assessment'!$U:$U,'Physical Condition Assessment'!$E:$E,"!!!!!",0)</f>
        <v>0</v>
      </c>
      <c r="C3" s="469">
        <f>_xlfn.XLOOKUP($A3,'Physical Condition Assessment'!$U:$U,'Physical Condition Assessment'!$F:$F,"!!!!!",0)</f>
        <v>0</v>
      </c>
      <c r="D3" s="469">
        <f>_xlfn.XLOOKUP($A3,'Physical Condition Assessment'!$U:$U,'Physical Condition Assessment'!$H:$H,"!!!!!",0)</f>
        <v>0</v>
      </c>
      <c r="E3" s="469">
        <f>_xlfn.XLOOKUP($A3,'Physical Condition Assessment'!$U:$U,'Physical Condition Assessment'!$J:$J,"!!!!!",0)</f>
        <v>0</v>
      </c>
      <c r="F3" s="469">
        <f>_xlfn.XLOOKUP($A3,'Physical Condition Assessment'!$U:$U,'Physical Condition Assessment'!$L:$L,"!!!!!",0)</f>
        <v>0</v>
      </c>
      <c r="G3" s="469">
        <f>_xlfn.XLOOKUP($A3,'Physical Condition Assessment'!$U:$U,'Physical Condition Assessment'!$N:$N,"!!!!!",0)</f>
        <v>0</v>
      </c>
      <c r="H3" s="469">
        <f>_xlfn.XLOOKUP($A3,'Physical Condition Assessment'!$U:$U,'Physical Condition Assessment'!$P:$P,"!!!!!",0)</f>
        <v>0</v>
      </c>
      <c r="I3" s="525">
        <f>_xlfn.XLOOKUP($A3,'Physical Condition Assessment'!$U:$U,'Physical Condition Assessment'!$R:$R,"!!!!!",0)</f>
        <v>0</v>
      </c>
      <c r="J3" s="471">
        <f>_xlfn.XLOOKUP($A3,'Physical Condition Assessment'!$U:$U,'Physical Condition Assessment'!$S:$S,"!!!!!",0)</f>
        <v>0</v>
      </c>
      <c r="K3" s="469">
        <f>_xlfn.XLOOKUP($A3,'Physical Condition Assessment'!$U:$U,'Physical Condition Assessment'!$T:$T,"!!!!!",0)</f>
        <v>0</v>
      </c>
      <c r="L3" s="502" t="str">
        <f>_xlfn.XLOOKUP($A3,'Physical Condition Assessment'!$U:$U,'Physical Condition Assessment'!$V:$V,"missing",0)</f>
        <v>Doors</v>
      </c>
      <c r="M3" s="469" t="str">
        <f>_xlfn.XLOOKUP($A3,'Physical Condition Assessment'!$U:$U,'Physical Condition Assessment'!$AE:$AE,"!!!!!",0)</f>
        <v>Unit</v>
      </c>
      <c r="N3" s="471">
        <f>_xlfn.XLOOKUP($A3,'Physical Condition Assessment'!$U:$U,'Physical Condition Assessment'!$AP:$AP,"!!!!!",0)</f>
        <v>0</v>
      </c>
      <c r="O3" s="526">
        <f t="shared" si="0"/>
        <v>0</v>
      </c>
      <c r="P3" s="502" t="str">
        <f t="shared" ref="P3:P66" si="1">IF(O3&lt;0.01,"Green",IF(O3&lt;0.499,"Yellow","Red"))</f>
        <v>Green</v>
      </c>
      <c r="R3" s="502" t="str">
        <f t="shared" ref="R3:R66" si="2">IF(F3="x",($I3*100)&amp;"%"&amp;" "&amp;"of"&amp;" "&amp;$U3&amp;".",IF(G3="x",($I3*100)&amp;"%"&amp;" "&amp;"of"&amp;" "&amp;$U3&amp;".",IF(H3="x",($I3*100)&amp;"%"&amp;" "&amp;"of"&amp;" "&amp;$U3&amp;".","")))</f>
        <v/>
      </c>
      <c r="S3" s="502" t="str">
        <f t="shared" ref="S3:S66" si="3">IF(D3="x",($I3*100)&amp;"%"&amp;" "&amp;"of"&amp;" "&amp;$U3&amp;" "&amp;"need minor-to-moderate renovations.",IF(E3="x",($I3*100)&amp;"%"&amp;" "&amp;"of"&amp;" "&amp;$U3&amp;" "&amp;"need minor-to-moderate renovations.",IF(I3="x",($I3*100)&amp;"%"&amp;" "&amp;"of"&amp;" "&amp;$U3&amp;" "&amp;"need minor-to-moderate renovations.","")))</f>
        <v/>
      </c>
      <c r="T3" s="95" t="s">
        <v>425</v>
      </c>
      <c r="U3" s="95" t="s">
        <v>430</v>
      </c>
      <c r="V3" s="95" t="s">
        <v>430</v>
      </c>
      <c r="W3" s="95" t="s">
        <v>428</v>
      </c>
      <c r="X3" s="95" t="s">
        <v>125</v>
      </c>
      <c r="Y3" s="95" t="s">
        <v>431</v>
      </c>
      <c r="Z3" s="95" t="s">
        <v>149</v>
      </c>
      <c r="AA3" s="95" t="s">
        <v>432</v>
      </c>
    </row>
    <row r="4" spans="1:29" x14ac:dyDescent="0.2">
      <c r="A4" s="502" t="s">
        <v>134</v>
      </c>
      <c r="B4" s="469">
        <f>_xlfn.XLOOKUP($A4,'Physical Condition Assessment'!$U:$U,'Physical Condition Assessment'!$E:$E,"!!!!!",0)</f>
        <v>0</v>
      </c>
      <c r="C4" s="469">
        <f>_xlfn.XLOOKUP($A4,'Physical Condition Assessment'!$U:$U,'Physical Condition Assessment'!$F:$F,"!!!!!",0)</f>
        <v>0</v>
      </c>
      <c r="D4" s="469">
        <f>_xlfn.XLOOKUP($A4,'Physical Condition Assessment'!$U:$U,'Physical Condition Assessment'!$H:$H,"!!!!!",0)</f>
        <v>0</v>
      </c>
      <c r="E4" s="469">
        <f>_xlfn.XLOOKUP($A4,'Physical Condition Assessment'!$U:$U,'Physical Condition Assessment'!$J:$J,"!!!!!",0)</f>
        <v>0</v>
      </c>
      <c r="F4" s="469">
        <f>_xlfn.XLOOKUP($A4,'Physical Condition Assessment'!$U:$U,'Physical Condition Assessment'!$L:$L,"!!!!!",0)</f>
        <v>0</v>
      </c>
      <c r="G4" s="469">
        <f>_xlfn.XLOOKUP($A4,'Physical Condition Assessment'!$U:$U,'Physical Condition Assessment'!$N:$N,"!!!!!",0)</f>
        <v>0</v>
      </c>
      <c r="H4" s="469">
        <f>_xlfn.XLOOKUP($A4,'Physical Condition Assessment'!$U:$U,'Physical Condition Assessment'!$P:$P,"!!!!!",0)</f>
        <v>0</v>
      </c>
      <c r="I4" s="525">
        <f>_xlfn.XLOOKUP($A4,'Physical Condition Assessment'!$U:$U,'Physical Condition Assessment'!$R:$R,"!!!!!",0)</f>
        <v>0</v>
      </c>
      <c r="J4" s="471">
        <f>_xlfn.XLOOKUP($A4,'Physical Condition Assessment'!$U:$U,'Physical Condition Assessment'!$S:$S,"!!!!!",0)</f>
        <v>0</v>
      </c>
      <c r="K4" s="469">
        <f>_xlfn.XLOOKUP($A4,'Physical Condition Assessment'!$U:$U,'Physical Condition Assessment'!$T:$T,"!!!!!",0)</f>
        <v>0</v>
      </c>
      <c r="L4" s="502" t="str">
        <f>_xlfn.XLOOKUP($A4,'Physical Condition Assessment'!$U:$U,'Physical Condition Assessment'!$V:$V,"missing",0)</f>
        <v>Doors</v>
      </c>
      <c r="M4" s="469" t="str">
        <f>_xlfn.XLOOKUP($A4,'Physical Condition Assessment'!$U:$U,'Physical Condition Assessment'!$AE:$AE,"!!!!!",0)</f>
        <v>Unit</v>
      </c>
      <c r="N4" s="471">
        <f>_xlfn.XLOOKUP($A4,'Physical Condition Assessment'!$U:$U,'Physical Condition Assessment'!$AP:$AP,"!!!!!",0)</f>
        <v>0</v>
      </c>
      <c r="O4" s="526">
        <f t="shared" si="0"/>
        <v>0</v>
      </c>
      <c r="P4" s="502" t="str">
        <f t="shared" si="1"/>
        <v>Green</v>
      </c>
      <c r="R4" s="502" t="str">
        <f t="shared" si="2"/>
        <v/>
      </c>
      <c r="S4" s="502" t="str">
        <f t="shared" si="3"/>
        <v/>
      </c>
      <c r="T4" s="95" t="s">
        <v>425</v>
      </c>
      <c r="U4" s="95" t="s">
        <v>433</v>
      </c>
      <c r="V4" s="95" t="s">
        <v>434</v>
      </c>
      <c r="W4" s="95" t="s">
        <v>428</v>
      </c>
      <c r="X4" s="95" t="s">
        <v>125</v>
      </c>
      <c r="Y4" s="95" t="s">
        <v>435</v>
      </c>
      <c r="Z4" s="95" t="s">
        <v>149</v>
      </c>
    </row>
    <row r="5" spans="1:29" x14ac:dyDescent="0.2">
      <c r="A5" s="502" t="s">
        <v>130</v>
      </c>
      <c r="B5" s="469">
        <f>_xlfn.XLOOKUP($A5,'Physical Condition Assessment'!$U:$U,'Physical Condition Assessment'!$E:$E,"!!!!!",0)</f>
        <v>0</v>
      </c>
      <c r="C5" s="469">
        <f>_xlfn.XLOOKUP($A5,'Physical Condition Assessment'!$U:$U,'Physical Condition Assessment'!$F:$F,"!!!!!",0)</f>
        <v>0</v>
      </c>
      <c r="D5" s="469">
        <f>_xlfn.XLOOKUP($A5,'Physical Condition Assessment'!$U:$U,'Physical Condition Assessment'!$H:$H,"!!!!!",0)</f>
        <v>0</v>
      </c>
      <c r="E5" s="469">
        <f>_xlfn.XLOOKUP($A5,'Physical Condition Assessment'!$U:$U,'Physical Condition Assessment'!$J:$J,"!!!!!",0)</f>
        <v>0</v>
      </c>
      <c r="F5" s="469">
        <f>_xlfn.XLOOKUP($A5,'Physical Condition Assessment'!$U:$U,'Physical Condition Assessment'!$L:$L,"!!!!!",0)</f>
        <v>0</v>
      </c>
      <c r="G5" s="469">
        <f>_xlfn.XLOOKUP($A5,'Physical Condition Assessment'!$U:$U,'Physical Condition Assessment'!$N:$N,"!!!!!",0)</f>
        <v>0</v>
      </c>
      <c r="H5" s="469">
        <f>_xlfn.XLOOKUP($A5,'Physical Condition Assessment'!$U:$U,'Physical Condition Assessment'!$P:$P,"!!!!!",0)</f>
        <v>0</v>
      </c>
      <c r="I5" s="525">
        <f>_xlfn.XLOOKUP($A5,'Physical Condition Assessment'!$U:$U,'Physical Condition Assessment'!$R:$R,"!!!!!",0)</f>
        <v>0</v>
      </c>
      <c r="J5" s="471">
        <f>_xlfn.XLOOKUP($A5,'Physical Condition Assessment'!$U:$U,'Physical Condition Assessment'!$S:$S,"!!!!!",0)</f>
        <v>0</v>
      </c>
      <c r="K5" s="469">
        <f>_xlfn.XLOOKUP($A5,'Physical Condition Assessment'!$U:$U,'Physical Condition Assessment'!$T:$T,"!!!!!",0)</f>
        <v>0</v>
      </c>
      <c r="L5" s="502" t="str">
        <f>_xlfn.XLOOKUP($A5,'Physical Condition Assessment'!$U:$U,'Physical Condition Assessment'!$V:$V,"missing",0)</f>
        <v>Doors</v>
      </c>
      <c r="M5" s="469" t="str">
        <f>_xlfn.XLOOKUP($A5,'Physical Condition Assessment'!$U:$U,'Physical Condition Assessment'!$AE:$AE,"!!!!!",0)</f>
        <v>Unit</v>
      </c>
      <c r="N5" s="471">
        <f>_xlfn.XLOOKUP($A5,'Physical Condition Assessment'!$U:$U,'Physical Condition Assessment'!$AP:$AP,"!!!!!",0)</f>
        <v>0</v>
      </c>
      <c r="O5" s="526">
        <f t="shared" si="0"/>
        <v>0</v>
      </c>
      <c r="P5" s="502" t="str">
        <f t="shared" si="1"/>
        <v>Green</v>
      </c>
      <c r="R5" s="502" t="str">
        <f t="shared" si="2"/>
        <v/>
      </c>
      <c r="S5" s="502" t="str">
        <f t="shared" si="3"/>
        <v/>
      </c>
      <c r="T5" s="95" t="s">
        <v>425</v>
      </c>
      <c r="U5" s="95" t="s">
        <v>436</v>
      </c>
      <c r="V5" s="95" t="s">
        <v>437</v>
      </c>
      <c r="W5" s="95" t="s">
        <v>428</v>
      </c>
      <c r="X5" s="95" t="s">
        <v>125</v>
      </c>
      <c r="Y5" s="95" t="s">
        <v>129</v>
      </c>
    </row>
    <row r="6" spans="1:29" x14ac:dyDescent="0.2">
      <c r="A6" s="502" t="s">
        <v>124</v>
      </c>
      <c r="B6" s="469">
        <f>_xlfn.XLOOKUP($A6,'Physical Condition Assessment'!$U:$U,'Physical Condition Assessment'!$E:$E,"!!!!!",0)</f>
        <v>0</v>
      </c>
      <c r="C6" s="469">
        <f>_xlfn.XLOOKUP($A6,'Physical Condition Assessment'!$U:$U,'Physical Condition Assessment'!$F:$F,"!!!!!",0)</f>
        <v>0</v>
      </c>
      <c r="D6" s="469">
        <f>_xlfn.XLOOKUP($A6,'Physical Condition Assessment'!$U:$U,'Physical Condition Assessment'!$H:$H,"!!!!!",0)</f>
        <v>0</v>
      </c>
      <c r="E6" s="469">
        <f>_xlfn.XLOOKUP($A6,'Physical Condition Assessment'!$U:$U,'Physical Condition Assessment'!$J:$J,"!!!!!",0)</f>
        <v>0</v>
      </c>
      <c r="F6" s="469">
        <f>_xlfn.XLOOKUP($A6,'Physical Condition Assessment'!$U:$U,'Physical Condition Assessment'!$L:$L,"!!!!!",0)</f>
        <v>0</v>
      </c>
      <c r="G6" s="469">
        <f>_xlfn.XLOOKUP($A6,'Physical Condition Assessment'!$U:$U,'Physical Condition Assessment'!$N:$N,"!!!!!",0)</f>
        <v>0</v>
      </c>
      <c r="H6" s="469">
        <f>_xlfn.XLOOKUP($A6,'Physical Condition Assessment'!$U:$U,'Physical Condition Assessment'!$P:$P,"!!!!!",0)</f>
        <v>0</v>
      </c>
      <c r="I6" s="525">
        <f>_xlfn.XLOOKUP($A6,'Physical Condition Assessment'!$U:$U,'Physical Condition Assessment'!$R:$R,"!!!!!",0)</f>
        <v>0</v>
      </c>
      <c r="J6" s="471">
        <f>_xlfn.XLOOKUP($A6,'Physical Condition Assessment'!$U:$U,'Physical Condition Assessment'!$S:$S,"!!!!!",0)</f>
        <v>0</v>
      </c>
      <c r="K6" s="469">
        <f>_xlfn.XLOOKUP($A6,'Physical Condition Assessment'!$U:$U,'Physical Condition Assessment'!$T:$T,"!!!!!",0)</f>
        <v>0</v>
      </c>
      <c r="L6" s="502" t="str">
        <f>_xlfn.XLOOKUP($A6,'Physical Condition Assessment'!$U:$U,'Physical Condition Assessment'!$V:$V,"missing",0)</f>
        <v>Doors</v>
      </c>
      <c r="M6" s="469" t="str">
        <f>_xlfn.XLOOKUP($A6,'Physical Condition Assessment'!$U:$U,'Physical Condition Assessment'!$AE:$AE,"!!!!!",0)</f>
        <v>Unit</v>
      </c>
      <c r="N6" s="471">
        <f>_xlfn.XLOOKUP($A6,'Physical Condition Assessment'!$U:$U,'Physical Condition Assessment'!$AP:$AP,"!!!!!",0)</f>
        <v>0</v>
      </c>
      <c r="O6" s="526">
        <f t="shared" si="0"/>
        <v>0</v>
      </c>
      <c r="P6" s="502" t="str">
        <f t="shared" si="1"/>
        <v>Green</v>
      </c>
      <c r="R6" s="502" t="str">
        <f t="shared" si="2"/>
        <v/>
      </c>
      <c r="S6" s="502" t="str">
        <f t="shared" si="3"/>
        <v/>
      </c>
      <c r="T6" s="95" t="s">
        <v>425</v>
      </c>
      <c r="U6" s="95" t="s">
        <v>438</v>
      </c>
      <c r="V6" s="95" t="s">
        <v>439</v>
      </c>
      <c r="W6" s="95" t="s">
        <v>428</v>
      </c>
      <c r="X6" s="95" t="s">
        <v>125</v>
      </c>
      <c r="Y6" s="95" t="s">
        <v>83</v>
      </c>
    </row>
    <row r="7" spans="1:29" x14ac:dyDescent="0.2">
      <c r="A7" s="502" t="s">
        <v>167</v>
      </c>
      <c r="B7" s="469">
        <f>_xlfn.XLOOKUP($A7,'Physical Condition Assessment'!$U:$U,'Physical Condition Assessment'!$E:$E,"!!!!!",0)</f>
        <v>0</v>
      </c>
      <c r="C7" s="469">
        <f>_xlfn.XLOOKUP($A7,'Physical Condition Assessment'!$U:$U,'Physical Condition Assessment'!$F:$F,"!!!!!",0)</f>
        <v>0</v>
      </c>
      <c r="D7" s="469">
        <f>_xlfn.XLOOKUP($A7,'Physical Condition Assessment'!$U:$U,'Physical Condition Assessment'!$H:$H,"!!!!!",0)</f>
        <v>0</v>
      </c>
      <c r="E7" s="469">
        <f>_xlfn.XLOOKUP($A7,'Physical Condition Assessment'!$U:$U,'Physical Condition Assessment'!$J:$J,"!!!!!",0)</f>
        <v>0</v>
      </c>
      <c r="F7" s="469">
        <f>_xlfn.XLOOKUP($A7,'Physical Condition Assessment'!$U:$U,'Physical Condition Assessment'!$L:$L,"!!!!!",0)</f>
        <v>0</v>
      </c>
      <c r="G7" s="469">
        <f>_xlfn.XLOOKUP($A7,'Physical Condition Assessment'!$U:$U,'Physical Condition Assessment'!$N:$N,"!!!!!",0)</f>
        <v>0</v>
      </c>
      <c r="H7" s="469">
        <f>_xlfn.XLOOKUP($A7,'Physical Condition Assessment'!$U:$U,'Physical Condition Assessment'!$P:$P,"!!!!!",0)</f>
        <v>0</v>
      </c>
      <c r="I7" s="525">
        <f>_xlfn.XLOOKUP($A7,'Physical Condition Assessment'!$U:$U,'Physical Condition Assessment'!$R:$R,"!!!!!",0)</f>
        <v>0</v>
      </c>
      <c r="J7" s="471">
        <f>_xlfn.XLOOKUP($A7,'Physical Condition Assessment'!$U:$U,'Physical Condition Assessment'!$S:$S,"!!!!!",0)</f>
        <v>0</v>
      </c>
      <c r="K7" s="469">
        <f>_xlfn.XLOOKUP($A7,'Physical Condition Assessment'!$U:$U,'Physical Condition Assessment'!$T:$T,"!!!!!",0)</f>
        <v>0</v>
      </c>
      <c r="L7" s="502" t="str">
        <f>_xlfn.XLOOKUP($A7,'Physical Condition Assessment'!$U:$U,'Physical Condition Assessment'!$V:$V,"missing",0)</f>
        <v>Doors</v>
      </c>
      <c r="M7" s="469" t="str">
        <f>_xlfn.XLOOKUP($A7,'Physical Condition Assessment'!$U:$U,'Physical Condition Assessment'!$AE:$AE,"!!!!!",0)</f>
        <v>Unit</v>
      </c>
      <c r="N7" s="471">
        <f>_xlfn.XLOOKUP($A7,'Physical Condition Assessment'!$U:$U,'Physical Condition Assessment'!$AP:$AP,"!!!!!",0)</f>
        <v>0</v>
      </c>
      <c r="O7" s="526">
        <f t="shared" si="0"/>
        <v>0</v>
      </c>
      <c r="P7" s="502" t="str">
        <f t="shared" si="1"/>
        <v>Green</v>
      </c>
      <c r="R7" s="502" t="str">
        <f t="shared" si="2"/>
        <v/>
      </c>
      <c r="S7" s="502" t="str">
        <f t="shared" si="3"/>
        <v/>
      </c>
      <c r="T7" s="95" t="s">
        <v>440</v>
      </c>
      <c r="U7" s="95" t="s">
        <v>441</v>
      </c>
      <c r="V7" s="95" t="s">
        <v>442</v>
      </c>
      <c r="W7" s="95" t="s">
        <v>443</v>
      </c>
      <c r="X7" s="95" t="s">
        <v>125</v>
      </c>
      <c r="Y7" s="95" t="s">
        <v>429</v>
      </c>
      <c r="Z7" s="95" t="s">
        <v>149</v>
      </c>
    </row>
    <row r="8" spans="1:29" x14ac:dyDescent="0.2">
      <c r="A8" s="502" t="s">
        <v>169</v>
      </c>
      <c r="B8" s="469">
        <f>_xlfn.XLOOKUP($A8,'Physical Condition Assessment'!$U:$U,'Physical Condition Assessment'!$E:$E,"!!!!!",0)</f>
        <v>0</v>
      </c>
      <c r="C8" s="469">
        <f>_xlfn.XLOOKUP($A8,'Physical Condition Assessment'!$U:$U,'Physical Condition Assessment'!$F:$F,"!!!!!",0)</f>
        <v>0</v>
      </c>
      <c r="D8" s="469">
        <f>_xlfn.XLOOKUP($A8,'Physical Condition Assessment'!$U:$U,'Physical Condition Assessment'!$H:$H,"!!!!!",0)</f>
        <v>0</v>
      </c>
      <c r="E8" s="469">
        <f>_xlfn.XLOOKUP($A8,'Physical Condition Assessment'!$U:$U,'Physical Condition Assessment'!$J:$J,"!!!!!",0)</f>
        <v>0</v>
      </c>
      <c r="F8" s="469">
        <f>_xlfn.XLOOKUP($A8,'Physical Condition Assessment'!$U:$U,'Physical Condition Assessment'!$L:$L,"!!!!!",0)</f>
        <v>0</v>
      </c>
      <c r="G8" s="469">
        <f>_xlfn.XLOOKUP($A8,'Physical Condition Assessment'!$U:$U,'Physical Condition Assessment'!$N:$N,"!!!!!",0)</f>
        <v>0</v>
      </c>
      <c r="H8" s="469">
        <f>_xlfn.XLOOKUP($A8,'Physical Condition Assessment'!$U:$U,'Physical Condition Assessment'!$P:$P,"!!!!!",0)</f>
        <v>0</v>
      </c>
      <c r="I8" s="525">
        <f>_xlfn.XLOOKUP($A8,'Physical Condition Assessment'!$U:$U,'Physical Condition Assessment'!$R:$R,"!!!!!",0)</f>
        <v>0</v>
      </c>
      <c r="J8" s="471">
        <f>_xlfn.XLOOKUP($A8,'Physical Condition Assessment'!$U:$U,'Physical Condition Assessment'!$S:$S,"!!!!!",0)</f>
        <v>0</v>
      </c>
      <c r="K8" s="469">
        <f>_xlfn.XLOOKUP($A8,'Physical Condition Assessment'!$U:$U,'Physical Condition Assessment'!$T:$T,"!!!!!",0)</f>
        <v>0</v>
      </c>
      <c r="L8" s="502" t="str">
        <f>_xlfn.XLOOKUP($A8,'Physical Condition Assessment'!$U:$U,'Physical Condition Assessment'!$V:$V,"missing",0)</f>
        <v>Doors</v>
      </c>
      <c r="M8" s="469" t="str">
        <f>_xlfn.XLOOKUP($A8,'Physical Condition Assessment'!$U:$U,'Physical Condition Assessment'!$AE:$AE,"!!!!!",0)</f>
        <v>Unit</v>
      </c>
      <c r="N8" s="471">
        <f>_xlfn.XLOOKUP($A8,'Physical Condition Assessment'!$U:$U,'Physical Condition Assessment'!$AP:$AP,"!!!!!",0)</f>
        <v>0</v>
      </c>
      <c r="O8" s="526">
        <f t="shared" si="0"/>
        <v>0</v>
      </c>
      <c r="P8" s="502" t="str">
        <f t="shared" si="1"/>
        <v>Green</v>
      </c>
      <c r="R8" s="502" t="str">
        <f t="shared" si="2"/>
        <v/>
      </c>
      <c r="S8" s="502" t="str">
        <f t="shared" si="3"/>
        <v/>
      </c>
      <c r="T8" s="95" t="s">
        <v>440</v>
      </c>
      <c r="U8" s="95" t="s">
        <v>444</v>
      </c>
      <c r="V8" s="95" t="s">
        <v>444</v>
      </c>
      <c r="W8" s="95" t="s">
        <v>443</v>
      </c>
      <c r="X8" s="95" t="s">
        <v>125</v>
      </c>
      <c r="Y8" s="95" t="s">
        <v>431</v>
      </c>
      <c r="Z8" s="95" t="s">
        <v>149</v>
      </c>
      <c r="AA8" s="95" t="s">
        <v>432</v>
      </c>
    </row>
    <row r="9" spans="1:29" x14ac:dyDescent="0.2">
      <c r="A9" s="502" t="s">
        <v>170</v>
      </c>
      <c r="B9" s="469">
        <f>_xlfn.XLOOKUP($A9,'Physical Condition Assessment'!$U:$U,'Physical Condition Assessment'!$E:$E,"!!!!!",0)</f>
        <v>0</v>
      </c>
      <c r="C9" s="469">
        <f>_xlfn.XLOOKUP($A9,'Physical Condition Assessment'!$U:$U,'Physical Condition Assessment'!$F:$F,"!!!!!",0)</f>
        <v>0</v>
      </c>
      <c r="D9" s="469">
        <f>_xlfn.XLOOKUP($A9,'Physical Condition Assessment'!$U:$U,'Physical Condition Assessment'!$H:$H,"!!!!!",0)</f>
        <v>0</v>
      </c>
      <c r="E9" s="469">
        <f>_xlfn.XLOOKUP($A9,'Physical Condition Assessment'!$U:$U,'Physical Condition Assessment'!$J:$J,"!!!!!",0)</f>
        <v>0</v>
      </c>
      <c r="F9" s="469">
        <f>_xlfn.XLOOKUP($A9,'Physical Condition Assessment'!$U:$U,'Physical Condition Assessment'!$L:$L,"!!!!!",0)</f>
        <v>0</v>
      </c>
      <c r="G9" s="469">
        <f>_xlfn.XLOOKUP($A9,'Physical Condition Assessment'!$U:$U,'Physical Condition Assessment'!$N:$N,"!!!!!",0)</f>
        <v>0</v>
      </c>
      <c r="H9" s="469">
        <f>_xlfn.XLOOKUP($A9,'Physical Condition Assessment'!$U:$U,'Physical Condition Assessment'!$P:$P,"!!!!!",0)</f>
        <v>0</v>
      </c>
      <c r="I9" s="525">
        <f>_xlfn.XLOOKUP($A9,'Physical Condition Assessment'!$U:$U,'Physical Condition Assessment'!$R:$R,"!!!!!",0)</f>
        <v>0</v>
      </c>
      <c r="J9" s="471">
        <f>_xlfn.XLOOKUP($A9,'Physical Condition Assessment'!$U:$U,'Physical Condition Assessment'!$S:$S,"!!!!!",0)</f>
        <v>0</v>
      </c>
      <c r="K9" s="469">
        <f>_xlfn.XLOOKUP($A9,'Physical Condition Assessment'!$U:$U,'Physical Condition Assessment'!$T:$T,"!!!!!",0)</f>
        <v>0</v>
      </c>
      <c r="L9" s="502" t="str">
        <f>_xlfn.XLOOKUP($A9,'Physical Condition Assessment'!$U:$U,'Physical Condition Assessment'!$V:$V,"missing",0)</f>
        <v>Doors</v>
      </c>
      <c r="M9" s="469" t="str">
        <f>_xlfn.XLOOKUP($A9,'Physical Condition Assessment'!$U:$U,'Physical Condition Assessment'!$AE:$AE,"!!!!!",0)</f>
        <v>Unit</v>
      </c>
      <c r="N9" s="471">
        <f>_xlfn.XLOOKUP($A9,'Physical Condition Assessment'!$U:$U,'Physical Condition Assessment'!$AP:$AP,"!!!!!",0)</f>
        <v>0</v>
      </c>
      <c r="O9" s="526">
        <f t="shared" si="0"/>
        <v>0</v>
      </c>
      <c r="P9" s="502" t="str">
        <f t="shared" si="1"/>
        <v>Green</v>
      </c>
      <c r="R9" s="502" t="str">
        <f t="shared" si="2"/>
        <v/>
      </c>
      <c r="S9" s="502" t="str">
        <f t="shared" si="3"/>
        <v/>
      </c>
      <c r="T9" s="95" t="s">
        <v>440</v>
      </c>
      <c r="U9" s="95" t="s">
        <v>445</v>
      </c>
      <c r="V9" s="95" t="s">
        <v>446</v>
      </c>
      <c r="W9" s="95" t="s">
        <v>443</v>
      </c>
      <c r="X9" s="95" t="s">
        <v>125</v>
      </c>
      <c r="Y9" s="95" t="s">
        <v>435</v>
      </c>
      <c r="Z9" s="95" t="s">
        <v>149</v>
      </c>
    </row>
    <row r="10" spans="1:29" x14ac:dyDescent="0.2">
      <c r="A10" s="502" t="s">
        <v>168</v>
      </c>
      <c r="B10" s="469">
        <f>_xlfn.XLOOKUP($A10,'Physical Condition Assessment'!$U:$U,'Physical Condition Assessment'!$E:$E,"!!!!!",0)</f>
        <v>0</v>
      </c>
      <c r="C10" s="469">
        <f>_xlfn.XLOOKUP($A10,'Physical Condition Assessment'!$U:$U,'Physical Condition Assessment'!$F:$F,"!!!!!",0)</f>
        <v>0</v>
      </c>
      <c r="D10" s="469">
        <f>_xlfn.XLOOKUP($A10,'Physical Condition Assessment'!$U:$U,'Physical Condition Assessment'!$H:$H,"!!!!!",0)</f>
        <v>0</v>
      </c>
      <c r="E10" s="469">
        <f>_xlfn.XLOOKUP($A10,'Physical Condition Assessment'!$U:$U,'Physical Condition Assessment'!$J:$J,"!!!!!",0)</f>
        <v>0</v>
      </c>
      <c r="F10" s="469">
        <f>_xlfn.XLOOKUP($A10,'Physical Condition Assessment'!$U:$U,'Physical Condition Assessment'!$L:$L,"!!!!!",0)</f>
        <v>0</v>
      </c>
      <c r="G10" s="469">
        <f>_xlfn.XLOOKUP($A10,'Physical Condition Assessment'!$U:$U,'Physical Condition Assessment'!$N:$N,"!!!!!",0)</f>
        <v>0</v>
      </c>
      <c r="H10" s="469">
        <f>_xlfn.XLOOKUP($A10,'Physical Condition Assessment'!$U:$U,'Physical Condition Assessment'!$P:$P,"!!!!!",0)</f>
        <v>0</v>
      </c>
      <c r="I10" s="525">
        <f>_xlfn.XLOOKUP($A10,'Physical Condition Assessment'!$U:$U,'Physical Condition Assessment'!$R:$R,"!!!!!",0)</f>
        <v>0</v>
      </c>
      <c r="J10" s="471">
        <f>_xlfn.XLOOKUP($A10,'Physical Condition Assessment'!$U:$U,'Physical Condition Assessment'!$S:$S,"!!!!!",0)</f>
        <v>0</v>
      </c>
      <c r="K10" s="469">
        <f>_xlfn.XLOOKUP($A10,'Physical Condition Assessment'!$U:$U,'Physical Condition Assessment'!$T:$T,"!!!!!",0)</f>
        <v>0</v>
      </c>
      <c r="L10" s="502" t="str">
        <f>_xlfn.XLOOKUP($A10,'Physical Condition Assessment'!$U:$U,'Physical Condition Assessment'!$V:$V,"missing",0)</f>
        <v>Doors</v>
      </c>
      <c r="M10" s="469" t="str">
        <f>_xlfn.XLOOKUP($A10,'Physical Condition Assessment'!$U:$U,'Physical Condition Assessment'!$AE:$AE,"!!!!!",0)</f>
        <v>Unit</v>
      </c>
      <c r="N10" s="471">
        <f>_xlfn.XLOOKUP($A10,'Physical Condition Assessment'!$U:$U,'Physical Condition Assessment'!$AP:$AP,"!!!!!",0)</f>
        <v>0</v>
      </c>
      <c r="O10" s="526">
        <f t="shared" si="0"/>
        <v>0</v>
      </c>
      <c r="P10" s="502" t="str">
        <f t="shared" si="1"/>
        <v>Green</v>
      </c>
      <c r="R10" s="502" t="str">
        <f t="shared" si="2"/>
        <v/>
      </c>
      <c r="S10" s="502" t="str">
        <f t="shared" si="3"/>
        <v/>
      </c>
      <c r="T10" s="95" t="s">
        <v>440</v>
      </c>
      <c r="U10" s="95" t="s">
        <v>447</v>
      </c>
      <c r="V10" s="95" t="s">
        <v>448</v>
      </c>
      <c r="W10" s="95" t="s">
        <v>443</v>
      </c>
      <c r="X10" s="95" t="s">
        <v>125</v>
      </c>
      <c r="Y10" s="95" t="s">
        <v>129</v>
      </c>
    </row>
    <row r="11" spans="1:29" x14ac:dyDescent="0.2">
      <c r="A11" s="502" t="s">
        <v>166</v>
      </c>
      <c r="B11" s="469">
        <f>_xlfn.XLOOKUP($A11,'Physical Condition Assessment'!$U:$U,'Physical Condition Assessment'!$E:$E,"!!!!!",0)</f>
        <v>0</v>
      </c>
      <c r="C11" s="469">
        <f>_xlfn.XLOOKUP($A11,'Physical Condition Assessment'!$U:$U,'Physical Condition Assessment'!$F:$F,"!!!!!",0)</f>
        <v>0</v>
      </c>
      <c r="D11" s="469">
        <f>_xlfn.XLOOKUP($A11,'Physical Condition Assessment'!$U:$U,'Physical Condition Assessment'!$H:$H,"!!!!!",0)</f>
        <v>0</v>
      </c>
      <c r="E11" s="469">
        <f>_xlfn.XLOOKUP($A11,'Physical Condition Assessment'!$U:$U,'Physical Condition Assessment'!$J:$J,"!!!!!",0)</f>
        <v>0</v>
      </c>
      <c r="F11" s="469">
        <f>_xlfn.XLOOKUP($A11,'Physical Condition Assessment'!$U:$U,'Physical Condition Assessment'!$L:$L,"!!!!!",0)</f>
        <v>0</v>
      </c>
      <c r="G11" s="469">
        <f>_xlfn.XLOOKUP($A11,'Physical Condition Assessment'!$U:$U,'Physical Condition Assessment'!$N:$N,"!!!!!",0)</f>
        <v>0</v>
      </c>
      <c r="H11" s="469">
        <f>_xlfn.XLOOKUP($A11,'Physical Condition Assessment'!$U:$U,'Physical Condition Assessment'!$P:$P,"!!!!!",0)</f>
        <v>0</v>
      </c>
      <c r="I11" s="525">
        <f>_xlfn.XLOOKUP($A11,'Physical Condition Assessment'!$U:$U,'Physical Condition Assessment'!$R:$R,"!!!!!",0)</f>
        <v>0</v>
      </c>
      <c r="J11" s="471">
        <f>_xlfn.XLOOKUP($A11,'Physical Condition Assessment'!$U:$U,'Physical Condition Assessment'!$S:$S,"!!!!!",0)</f>
        <v>0</v>
      </c>
      <c r="K11" s="469">
        <f>_xlfn.XLOOKUP($A11,'Physical Condition Assessment'!$U:$U,'Physical Condition Assessment'!$T:$T,"!!!!!",0)</f>
        <v>0</v>
      </c>
      <c r="L11" s="502" t="str">
        <f>_xlfn.XLOOKUP($A11,'Physical Condition Assessment'!$U:$U,'Physical Condition Assessment'!$V:$V,"missing",0)</f>
        <v>Doors</v>
      </c>
      <c r="M11" s="469" t="str">
        <f>_xlfn.XLOOKUP($A11,'Physical Condition Assessment'!$U:$U,'Physical Condition Assessment'!$AE:$AE,"!!!!!",0)</f>
        <v>Unit</v>
      </c>
      <c r="N11" s="471">
        <f>_xlfn.XLOOKUP($A11,'Physical Condition Assessment'!$U:$U,'Physical Condition Assessment'!$AP:$AP,"!!!!!",0)</f>
        <v>0</v>
      </c>
      <c r="O11" s="526">
        <f t="shared" si="0"/>
        <v>0</v>
      </c>
      <c r="P11" s="502" t="str">
        <f t="shared" si="1"/>
        <v>Green</v>
      </c>
      <c r="R11" s="502" t="str">
        <f t="shared" si="2"/>
        <v/>
      </c>
      <c r="S11" s="502" t="str">
        <f t="shared" si="3"/>
        <v/>
      </c>
      <c r="T11" s="95" t="s">
        <v>440</v>
      </c>
      <c r="U11" s="95" t="s">
        <v>449</v>
      </c>
      <c r="V11" s="95" t="s">
        <v>450</v>
      </c>
      <c r="W11" s="95" t="s">
        <v>443</v>
      </c>
      <c r="X11" s="95" t="s">
        <v>125</v>
      </c>
      <c r="Y11" s="95" t="s">
        <v>83</v>
      </c>
    </row>
    <row r="12" spans="1:29" x14ac:dyDescent="0.2">
      <c r="A12" s="502" t="s">
        <v>301</v>
      </c>
      <c r="B12" s="469">
        <f>_xlfn.XLOOKUP($A12,'Physical Condition Assessment'!$U:$U,'Physical Condition Assessment'!$E:$E,"!!!!!",0)</f>
        <v>0</v>
      </c>
      <c r="C12" s="469">
        <f>_xlfn.XLOOKUP($A12,'Physical Condition Assessment'!$U:$U,'Physical Condition Assessment'!$F:$F,"!!!!!",0)</f>
        <v>0</v>
      </c>
      <c r="D12" s="469">
        <f>_xlfn.XLOOKUP($A12,'Physical Condition Assessment'!$U:$U,'Physical Condition Assessment'!$H:$H,"!!!!!",0)</f>
        <v>0</v>
      </c>
      <c r="E12" s="469">
        <f>_xlfn.XLOOKUP($A12,'Physical Condition Assessment'!$U:$U,'Physical Condition Assessment'!$J:$J,"!!!!!",0)</f>
        <v>0</v>
      </c>
      <c r="F12" s="469">
        <f>_xlfn.XLOOKUP($A12,'Physical Condition Assessment'!$U:$U,'Physical Condition Assessment'!$L:$L,"!!!!!",0)</f>
        <v>0</v>
      </c>
      <c r="G12" s="469">
        <f>_xlfn.XLOOKUP($A12,'Physical Condition Assessment'!$U:$U,'Physical Condition Assessment'!$N:$N,"!!!!!",0)</f>
        <v>0</v>
      </c>
      <c r="H12" s="469">
        <f>_xlfn.XLOOKUP($A12,'Physical Condition Assessment'!$U:$U,'Physical Condition Assessment'!$P:$P,"!!!!!",0)</f>
        <v>0</v>
      </c>
      <c r="I12" s="525">
        <f>_xlfn.XLOOKUP($A12,'Physical Condition Assessment'!$U:$U,'Physical Condition Assessment'!$R:$R,"!!!!!",0)</f>
        <v>0</v>
      </c>
      <c r="J12" s="471">
        <f>_xlfn.XLOOKUP($A12,'Physical Condition Assessment'!$U:$U,'Physical Condition Assessment'!$S:$S,"!!!!!",0)</f>
        <v>0</v>
      </c>
      <c r="K12" s="469">
        <f>_xlfn.XLOOKUP($A12,'Physical Condition Assessment'!$U:$U,'Physical Condition Assessment'!$T:$T,"!!!!!",0)</f>
        <v>0</v>
      </c>
      <c r="L12" s="502" t="str">
        <f>_xlfn.XLOOKUP($A12,'Physical Condition Assessment'!$U:$U,'Physical Condition Assessment'!$V:$V,"missing",0)</f>
        <v>Electrical</v>
      </c>
      <c r="M12" s="469" t="str">
        <f>_xlfn.XLOOKUP($A12,'Physical Condition Assessment'!$U:$U,'Physical Condition Assessment'!$AE:$AE,"!!!!!",0)</f>
        <v>SF</v>
      </c>
      <c r="N12" s="471">
        <f>_xlfn.XLOOKUP($A12,'Physical Condition Assessment'!$U:$U,'Physical Condition Assessment'!$AP:$AP,"!!!!!",0)</f>
        <v>0</v>
      </c>
      <c r="O12" s="526">
        <f t="shared" si="0"/>
        <v>0</v>
      </c>
      <c r="P12" s="502" t="str">
        <f t="shared" si="1"/>
        <v>Green</v>
      </c>
      <c r="R12" s="502" t="str">
        <f t="shared" si="2"/>
        <v/>
      </c>
      <c r="S12" s="502" t="str">
        <f t="shared" si="3"/>
        <v/>
      </c>
      <c r="T12" s="95" t="s">
        <v>451</v>
      </c>
      <c r="U12" s="95" t="s">
        <v>452</v>
      </c>
      <c r="V12" s="95" t="s">
        <v>453</v>
      </c>
      <c r="W12" s="95" t="s">
        <v>302</v>
      </c>
      <c r="X12" s="95" t="s">
        <v>380</v>
      </c>
      <c r="Z12" s="95" t="s">
        <v>454</v>
      </c>
      <c r="AA12" s="95" t="s">
        <v>455</v>
      </c>
    </row>
    <row r="13" spans="1:29" x14ac:dyDescent="0.2">
      <c r="A13" s="502" t="s">
        <v>304</v>
      </c>
      <c r="B13" s="469">
        <f>_xlfn.XLOOKUP($A13,'Physical Condition Assessment'!$U:$U,'Physical Condition Assessment'!$E:$E,"!!!!!",0)</f>
        <v>0</v>
      </c>
      <c r="C13" s="469">
        <f>_xlfn.XLOOKUP($A13,'Physical Condition Assessment'!$U:$U,'Physical Condition Assessment'!$F:$F,"!!!!!",0)</f>
        <v>0</v>
      </c>
      <c r="D13" s="469">
        <f>_xlfn.XLOOKUP($A13,'Physical Condition Assessment'!$U:$U,'Physical Condition Assessment'!$H:$H,"!!!!!",0)</f>
        <v>0</v>
      </c>
      <c r="E13" s="469">
        <f>_xlfn.XLOOKUP($A13,'Physical Condition Assessment'!$U:$U,'Physical Condition Assessment'!$J:$J,"!!!!!",0)</f>
        <v>0</v>
      </c>
      <c r="F13" s="469">
        <f>_xlfn.XLOOKUP($A13,'Physical Condition Assessment'!$U:$U,'Physical Condition Assessment'!$L:$L,"!!!!!",0)</f>
        <v>0</v>
      </c>
      <c r="G13" s="469">
        <f>_xlfn.XLOOKUP($A13,'Physical Condition Assessment'!$U:$U,'Physical Condition Assessment'!$N:$N,"!!!!!",0)</f>
        <v>0</v>
      </c>
      <c r="H13" s="469">
        <f>_xlfn.XLOOKUP($A13,'Physical Condition Assessment'!$U:$U,'Physical Condition Assessment'!$P:$P,"!!!!!",0)</f>
        <v>0</v>
      </c>
      <c r="I13" s="525">
        <f>_xlfn.XLOOKUP($A13,'Physical Condition Assessment'!$U:$U,'Physical Condition Assessment'!$R:$R,"!!!!!",0)</f>
        <v>0</v>
      </c>
      <c r="J13" s="471">
        <f>_xlfn.XLOOKUP($A13,'Physical Condition Assessment'!$U:$U,'Physical Condition Assessment'!$S:$S,"!!!!!",0)</f>
        <v>0</v>
      </c>
      <c r="K13" s="469">
        <f>_xlfn.XLOOKUP($A13,'Physical Condition Assessment'!$U:$U,'Physical Condition Assessment'!$T:$T,"!!!!!",0)</f>
        <v>0</v>
      </c>
      <c r="L13" s="502" t="str">
        <f>_xlfn.XLOOKUP($A13,'Physical Condition Assessment'!$U:$U,'Physical Condition Assessment'!$V:$V,"missing",0)</f>
        <v>Electrical</v>
      </c>
      <c r="M13" s="469" t="str">
        <f>_xlfn.XLOOKUP($A13,'Physical Condition Assessment'!$U:$U,'Physical Condition Assessment'!$AE:$AE,"!!!!!",0)</f>
        <v>SF</v>
      </c>
      <c r="N13" s="471">
        <f>_xlfn.XLOOKUP($A13,'Physical Condition Assessment'!$U:$U,'Physical Condition Assessment'!$AP:$AP,"!!!!!",0)</f>
        <v>0</v>
      </c>
      <c r="O13" s="526">
        <f t="shared" si="0"/>
        <v>0</v>
      </c>
      <c r="P13" s="502" t="str">
        <f t="shared" si="1"/>
        <v>Green</v>
      </c>
      <c r="R13" s="502" t="str">
        <f t="shared" si="2"/>
        <v/>
      </c>
      <c r="S13" s="502" t="str">
        <f t="shared" si="3"/>
        <v/>
      </c>
      <c r="T13" s="95" t="s">
        <v>456</v>
      </c>
      <c r="U13" s="95" t="s">
        <v>457</v>
      </c>
      <c r="V13" s="95" t="s">
        <v>458</v>
      </c>
      <c r="W13" s="95" t="s">
        <v>459</v>
      </c>
      <c r="Z13" s="95" t="s">
        <v>460</v>
      </c>
      <c r="AA13" s="95" t="s">
        <v>461</v>
      </c>
    </row>
    <row r="14" spans="1:29" x14ac:dyDescent="0.2">
      <c r="A14" s="502" t="s">
        <v>383</v>
      </c>
      <c r="B14" s="469">
        <f>_xlfn.XLOOKUP($A14,'Physical Condition Assessment'!$U:$U,'Physical Condition Assessment'!$E:$E,"!!!!!",0)</f>
        <v>0</v>
      </c>
      <c r="C14" s="469">
        <f>_xlfn.XLOOKUP($A14,'Physical Condition Assessment'!$U:$U,'Physical Condition Assessment'!$F:$F,"!!!!!",0)</f>
        <v>0</v>
      </c>
      <c r="D14" s="469">
        <f>_xlfn.XLOOKUP($A14,'Physical Condition Assessment'!$U:$U,'Physical Condition Assessment'!$H:$H,"!!!!!",0)</f>
        <v>0</v>
      </c>
      <c r="E14" s="469">
        <f>_xlfn.XLOOKUP($A14,'Physical Condition Assessment'!$U:$U,'Physical Condition Assessment'!$J:$J,"!!!!!",0)</f>
        <v>0</v>
      </c>
      <c r="F14" s="469">
        <f>_xlfn.XLOOKUP($A14,'Physical Condition Assessment'!$U:$U,'Physical Condition Assessment'!$L:$L,"!!!!!",0)</f>
        <v>0</v>
      </c>
      <c r="G14" s="469">
        <f>_xlfn.XLOOKUP($A14,'Physical Condition Assessment'!$U:$U,'Physical Condition Assessment'!$N:$N,"!!!!!",0)</f>
        <v>0</v>
      </c>
      <c r="H14" s="469">
        <f>_xlfn.XLOOKUP($A14,'Physical Condition Assessment'!$U:$U,'Physical Condition Assessment'!$P:$P,"!!!!!",0)</f>
        <v>0</v>
      </c>
      <c r="I14" s="525">
        <f>_xlfn.XLOOKUP($A14,'Physical Condition Assessment'!$U:$U,'Physical Condition Assessment'!$R:$R,"!!!!!",0)</f>
        <v>0</v>
      </c>
      <c r="J14" s="471">
        <f>_xlfn.XLOOKUP($A14,'Physical Condition Assessment'!$U:$U,'Physical Condition Assessment'!$S:$S,"!!!!!",0)</f>
        <v>0</v>
      </c>
      <c r="K14" s="469">
        <f>_xlfn.XLOOKUP($A14,'Physical Condition Assessment'!$U:$U,'Physical Condition Assessment'!$T:$T,"!!!!!",0)</f>
        <v>0</v>
      </c>
      <c r="L14" s="502" t="str">
        <f>_xlfn.XLOOKUP($A14,'Physical Condition Assessment'!$U:$U,'Physical Condition Assessment'!$V:$V,"missing",0)</f>
        <v>Electrical</v>
      </c>
      <c r="M14" s="469" t="str">
        <f>_xlfn.XLOOKUP($A14,'Physical Condition Assessment'!$U:$U,'Physical Condition Assessment'!$AE:$AE,"!!!!!",0)</f>
        <v>Unit</v>
      </c>
      <c r="N14" s="471">
        <f>_xlfn.XLOOKUP($A14,'Physical Condition Assessment'!$U:$U,'Physical Condition Assessment'!$AP:$AP,"!!!!!",0)</f>
        <v>0</v>
      </c>
      <c r="O14" s="526">
        <f t="shared" si="0"/>
        <v>0</v>
      </c>
      <c r="P14" s="502" t="str">
        <f t="shared" si="1"/>
        <v>Green</v>
      </c>
      <c r="R14" s="502" t="str">
        <f t="shared" si="2"/>
        <v/>
      </c>
      <c r="S14" s="502" t="str">
        <f t="shared" si="3"/>
        <v/>
      </c>
      <c r="T14" s="95" t="s">
        <v>462</v>
      </c>
      <c r="U14" s="95" t="s">
        <v>463</v>
      </c>
      <c r="V14" s="95" t="s">
        <v>464</v>
      </c>
      <c r="W14" s="95" t="s">
        <v>302</v>
      </c>
      <c r="X14" s="95" t="s">
        <v>455</v>
      </c>
      <c r="Y14" s="95" t="s">
        <v>382</v>
      </c>
    </row>
    <row r="15" spans="1:29" x14ac:dyDescent="0.2">
      <c r="A15" s="502" t="s">
        <v>381</v>
      </c>
      <c r="B15" s="469">
        <f>_xlfn.XLOOKUP($A15,'Physical Condition Assessment'!$U:$U,'Physical Condition Assessment'!$E:$E,"!!!!!",0)</f>
        <v>0</v>
      </c>
      <c r="C15" s="469">
        <f>_xlfn.XLOOKUP($A15,'Physical Condition Assessment'!$U:$U,'Physical Condition Assessment'!$F:$F,"!!!!!",0)</f>
        <v>0</v>
      </c>
      <c r="D15" s="469">
        <f>_xlfn.XLOOKUP($A15,'Physical Condition Assessment'!$U:$U,'Physical Condition Assessment'!$H:$H,"!!!!!",0)</f>
        <v>0</v>
      </c>
      <c r="E15" s="469">
        <f>_xlfn.XLOOKUP($A15,'Physical Condition Assessment'!$U:$U,'Physical Condition Assessment'!$J:$J,"!!!!!",0)</f>
        <v>0</v>
      </c>
      <c r="F15" s="469">
        <f>_xlfn.XLOOKUP($A15,'Physical Condition Assessment'!$U:$U,'Physical Condition Assessment'!$L:$L,"!!!!!",0)</f>
        <v>0</v>
      </c>
      <c r="G15" s="469">
        <f>_xlfn.XLOOKUP($A15,'Physical Condition Assessment'!$U:$U,'Physical Condition Assessment'!$N:$N,"!!!!!",0)</f>
        <v>0</v>
      </c>
      <c r="H15" s="469">
        <f>_xlfn.XLOOKUP($A15,'Physical Condition Assessment'!$U:$U,'Physical Condition Assessment'!$P:$P,"!!!!!",0)</f>
        <v>0</v>
      </c>
      <c r="I15" s="525">
        <f>_xlfn.XLOOKUP($A15,'Physical Condition Assessment'!$U:$U,'Physical Condition Assessment'!$R:$R,"!!!!!",0)</f>
        <v>0</v>
      </c>
      <c r="J15" s="471">
        <f>_xlfn.XLOOKUP($A15,'Physical Condition Assessment'!$U:$U,'Physical Condition Assessment'!$S:$S,"!!!!!",0)</f>
        <v>0</v>
      </c>
      <c r="K15" s="469">
        <f>_xlfn.XLOOKUP($A15,'Physical Condition Assessment'!$U:$U,'Physical Condition Assessment'!$T:$T,"!!!!!",0)</f>
        <v>0</v>
      </c>
      <c r="L15" s="502" t="str">
        <f>_xlfn.XLOOKUP($A15,'Physical Condition Assessment'!$U:$U,'Physical Condition Assessment'!$V:$V,"missing",0)</f>
        <v>Electrical</v>
      </c>
      <c r="M15" s="469" t="str">
        <f>_xlfn.XLOOKUP($A15,'Physical Condition Assessment'!$U:$U,'Physical Condition Assessment'!$AE:$AE,"!!!!!",0)</f>
        <v>SF</v>
      </c>
      <c r="N15" s="471">
        <f>_xlfn.XLOOKUP($A15,'Physical Condition Assessment'!$U:$U,'Physical Condition Assessment'!$AP:$AP,"!!!!!",0)</f>
        <v>0</v>
      </c>
      <c r="O15" s="526">
        <f t="shared" si="0"/>
        <v>0</v>
      </c>
      <c r="P15" s="502" t="str">
        <f t="shared" si="1"/>
        <v>Green</v>
      </c>
      <c r="R15" s="502" t="str">
        <f t="shared" si="2"/>
        <v/>
      </c>
      <c r="S15" s="502" t="str">
        <f t="shared" si="3"/>
        <v/>
      </c>
      <c r="T15" s="95" t="s">
        <v>462</v>
      </c>
      <c r="U15" s="95" t="s">
        <v>465</v>
      </c>
      <c r="V15" s="95" t="s">
        <v>466</v>
      </c>
      <c r="W15" s="95" t="s">
        <v>302</v>
      </c>
      <c r="X15" s="95" t="s">
        <v>455</v>
      </c>
      <c r="Y15" s="95" t="s">
        <v>380</v>
      </c>
    </row>
    <row r="16" spans="1:29" x14ac:dyDescent="0.2">
      <c r="A16" s="502" t="s">
        <v>385</v>
      </c>
      <c r="B16" s="469">
        <f>_xlfn.XLOOKUP($A16,'Physical Condition Assessment'!$U:$U,'Physical Condition Assessment'!$E:$E,"!!!!!",0)</f>
        <v>0</v>
      </c>
      <c r="C16" s="469">
        <f>_xlfn.XLOOKUP($A16,'Physical Condition Assessment'!$U:$U,'Physical Condition Assessment'!$F:$F,"!!!!!",0)</f>
        <v>0</v>
      </c>
      <c r="D16" s="469">
        <f>_xlfn.XLOOKUP($A16,'Physical Condition Assessment'!$U:$U,'Physical Condition Assessment'!$H:$H,"!!!!!",0)</f>
        <v>0</v>
      </c>
      <c r="E16" s="469">
        <f>_xlfn.XLOOKUP($A16,'Physical Condition Assessment'!$U:$U,'Physical Condition Assessment'!$J:$J,"!!!!!",0)</f>
        <v>0</v>
      </c>
      <c r="F16" s="469">
        <f>_xlfn.XLOOKUP($A16,'Physical Condition Assessment'!$U:$U,'Physical Condition Assessment'!$L:$L,"!!!!!",0)</f>
        <v>0</v>
      </c>
      <c r="G16" s="469">
        <f>_xlfn.XLOOKUP($A16,'Physical Condition Assessment'!$U:$U,'Physical Condition Assessment'!$N:$N,"!!!!!",0)</f>
        <v>0</v>
      </c>
      <c r="H16" s="469">
        <f>_xlfn.XLOOKUP($A16,'Physical Condition Assessment'!$U:$U,'Physical Condition Assessment'!$P:$P,"!!!!!",0)</f>
        <v>0</v>
      </c>
      <c r="I16" s="525">
        <f>_xlfn.XLOOKUP($A16,'Physical Condition Assessment'!$U:$U,'Physical Condition Assessment'!$R:$R,"!!!!!",0)</f>
        <v>0</v>
      </c>
      <c r="J16" s="471">
        <f>_xlfn.XLOOKUP($A16,'Physical Condition Assessment'!$U:$U,'Physical Condition Assessment'!$S:$S,"!!!!!",0)</f>
        <v>0</v>
      </c>
      <c r="K16" s="469">
        <f>_xlfn.XLOOKUP($A16,'Physical Condition Assessment'!$U:$U,'Physical Condition Assessment'!$T:$T,"!!!!!",0)</f>
        <v>0</v>
      </c>
      <c r="L16" s="502" t="str">
        <f>_xlfn.XLOOKUP($A16,'Physical Condition Assessment'!$U:$U,'Physical Condition Assessment'!$V:$V,"missing",0)</f>
        <v>Electrical</v>
      </c>
      <c r="M16" s="469" t="str">
        <f>_xlfn.XLOOKUP($A16,'Physical Condition Assessment'!$U:$U,'Physical Condition Assessment'!$AE:$AE,"!!!!!",0)</f>
        <v>Unit</v>
      </c>
      <c r="N16" s="471">
        <f>_xlfn.XLOOKUP($A16,'Physical Condition Assessment'!$U:$U,'Physical Condition Assessment'!$AP:$AP,"!!!!!",0)</f>
        <v>0</v>
      </c>
      <c r="O16" s="526">
        <f>IF(J16=0,0,(J16/N16))</f>
        <v>0</v>
      </c>
      <c r="P16" s="502" t="str">
        <f t="shared" si="1"/>
        <v>Green</v>
      </c>
      <c r="R16" s="502" t="str">
        <f t="shared" si="2"/>
        <v/>
      </c>
      <c r="S16" s="502" t="str">
        <f t="shared" si="3"/>
        <v/>
      </c>
      <c r="T16" s="95" t="s">
        <v>467</v>
      </c>
      <c r="U16" s="95" t="s">
        <v>468</v>
      </c>
      <c r="V16" s="95" t="s">
        <v>469</v>
      </c>
      <c r="W16" s="95" t="s">
        <v>428</v>
      </c>
      <c r="Z16" s="95" t="s">
        <v>459</v>
      </c>
      <c r="AA16" s="95" t="s">
        <v>358</v>
      </c>
    </row>
    <row r="17" spans="1:28" x14ac:dyDescent="0.2">
      <c r="A17" s="502" t="s">
        <v>99</v>
      </c>
      <c r="B17" s="469">
        <f>_xlfn.XLOOKUP($A17,'Physical Condition Assessment'!$U:$U,'Physical Condition Assessment'!$E:$E,"!!!!!",0)</f>
        <v>0</v>
      </c>
      <c r="C17" s="469">
        <f>_xlfn.XLOOKUP($A17,'Physical Condition Assessment'!$U:$U,'Physical Condition Assessment'!$F:$F,"!!!!!",0)</f>
        <v>0</v>
      </c>
      <c r="D17" s="469">
        <f>_xlfn.XLOOKUP($A17,'Physical Condition Assessment'!$U:$U,'Physical Condition Assessment'!$H:$H,"!!!!!",0)</f>
        <v>0</v>
      </c>
      <c r="E17" s="469">
        <f>_xlfn.XLOOKUP($A17,'Physical Condition Assessment'!$U:$U,'Physical Condition Assessment'!$J:$J,"!!!!!",0)</f>
        <v>0</v>
      </c>
      <c r="F17" s="469">
        <f>_xlfn.XLOOKUP($A17,'Physical Condition Assessment'!$U:$U,'Physical Condition Assessment'!$L:$L,"!!!!!",0)</f>
        <v>0</v>
      </c>
      <c r="G17" s="469">
        <f>_xlfn.XLOOKUP($A17,'Physical Condition Assessment'!$U:$U,'Physical Condition Assessment'!$N:$N,"!!!!!",0)</f>
        <v>0</v>
      </c>
      <c r="H17" s="469">
        <f>_xlfn.XLOOKUP($A17,'Physical Condition Assessment'!$U:$U,'Physical Condition Assessment'!$P:$P,"!!!!!",0)</f>
        <v>0</v>
      </c>
      <c r="I17" s="525">
        <f>_xlfn.XLOOKUP($A17,'Physical Condition Assessment'!$U:$U,'Physical Condition Assessment'!$R:$R,"!!!!!",0)</f>
        <v>0</v>
      </c>
      <c r="J17" s="471">
        <f>_xlfn.XLOOKUP($A17,'Physical Condition Assessment'!$U:$U,'Physical Condition Assessment'!$S:$S,"!!!!!",0)</f>
        <v>0</v>
      </c>
      <c r="K17" s="469">
        <f>_xlfn.XLOOKUP($A17,'Physical Condition Assessment'!$U:$U,'Physical Condition Assessment'!$T:$T,"!!!!!",0)</f>
        <v>0</v>
      </c>
      <c r="L17" s="502" t="str">
        <f>_xlfn.XLOOKUP($A17,'Physical Condition Assessment'!$U:$U,'Physical Condition Assessment'!$V:$V,"missing",0)</f>
        <v>Exterior Structure</v>
      </c>
      <c r="M17" s="469" t="str">
        <f>_xlfn.XLOOKUP($A17,'Physical Condition Assessment'!$U:$U,'Physical Condition Assessment'!$AE:$AE,"!!!!!",0)</f>
        <v>SF</v>
      </c>
      <c r="N17" s="471">
        <f>_xlfn.XLOOKUP($A17,'Physical Condition Assessment'!$U:$U,'Physical Condition Assessment'!$AP:$AP,"!!!!!",0)</f>
        <v>0</v>
      </c>
      <c r="O17" s="526">
        <f t="shared" si="0"/>
        <v>0</v>
      </c>
      <c r="P17" s="502" t="str">
        <f t="shared" si="1"/>
        <v>Green</v>
      </c>
      <c r="R17" s="502" t="str">
        <f t="shared" si="2"/>
        <v/>
      </c>
      <c r="S17" s="502" t="str">
        <f t="shared" si="3"/>
        <v/>
      </c>
      <c r="T17" s="95" t="s">
        <v>470</v>
      </c>
      <c r="U17" s="95" t="s">
        <v>471</v>
      </c>
      <c r="V17" s="95" t="s">
        <v>471</v>
      </c>
      <c r="W17" s="95" t="s">
        <v>428</v>
      </c>
      <c r="X17" s="95" t="s">
        <v>472</v>
      </c>
      <c r="Y17" s="95" t="s">
        <v>88</v>
      </c>
      <c r="Z17" s="95" t="s">
        <v>473</v>
      </c>
      <c r="AA17" s="95" t="s">
        <v>474</v>
      </c>
      <c r="AB17" s="95" t="s">
        <v>475</v>
      </c>
    </row>
    <row r="18" spans="1:28" x14ac:dyDescent="0.2">
      <c r="A18" s="502" t="s">
        <v>105</v>
      </c>
      <c r="B18" s="469">
        <f>_xlfn.XLOOKUP($A18,'Physical Condition Assessment'!$U:$U,'Physical Condition Assessment'!$E:$E,"!!!!!",0)</f>
        <v>0</v>
      </c>
      <c r="C18" s="469">
        <f>_xlfn.XLOOKUP($A18,'Physical Condition Assessment'!$U:$U,'Physical Condition Assessment'!$F:$F,"!!!!!",0)</f>
        <v>0</v>
      </c>
      <c r="D18" s="469">
        <f>_xlfn.XLOOKUP($A18,'Physical Condition Assessment'!$U:$U,'Physical Condition Assessment'!$H:$H,"!!!!!",0)</f>
        <v>0</v>
      </c>
      <c r="E18" s="469">
        <f>_xlfn.XLOOKUP($A18,'Physical Condition Assessment'!$U:$U,'Physical Condition Assessment'!$J:$J,"!!!!!",0)</f>
        <v>0</v>
      </c>
      <c r="F18" s="469">
        <f>_xlfn.XLOOKUP($A18,'Physical Condition Assessment'!$U:$U,'Physical Condition Assessment'!$L:$L,"!!!!!",0)</f>
        <v>0</v>
      </c>
      <c r="G18" s="469">
        <f>_xlfn.XLOOKUP($A18,'Physical Condition Assessment'!$U:$U,'Physical Condition Assessment'!$N:$N,"!!!!!",0)</f>
        <v>0</v>
      </c>
      <c r="H18" s="469">
        <f>_xlfn.XLOOKUP($A18,'Physical Condition Assessment'!$U:$U,'Physical Condition Assessment'!$P:$P,"!!!!!",0)</f>
        <v>0</v>
      </c>
      <c r="I18" s="525">
        <f>_xlfn.XLOOKUP($A18,'Physical Condition Assessment'!$U:$U,'Physical Condition Assessment'!$R:$R,"!!!!!",0)</f>
        <v>0</v>
      </c>
      <c r="J18" s="471">
        <f>_xlfn.XLOOKUP($A18,'Physical Condition Assessment'!$U:$U,'Physical Condition Assessment'!$S:$S,"!!!!!",0)</f>
        <v>0</v>
      </c>
      <c r="K18" s="469">
        <f>_xlfn.XLOOKUP($A18,'Physical Condition Assessment'!$U:$U,'Physical Condition Assessment'!$T:$T,"!!!!!",0)</f>
        <v>0</v>
      </c>
      <c r="L18" s="502" t="str">
        <f>_xlfn.XLOOKUP($A18,'Physical Condition Assessment'!$U:$U,'Physical Condition Assessment'!$V:$V,"missing",0)</f>
        <v>Exterior Structure</v>
      </c>
      <c r="M18" s="469" t="str">
        <f>_xlfn.XLOOKUP($A18,'Physical Condition Assessment'!$U:$U,'Physical Condition Assessment'!$AE:$AE,"!!!!!",0)</f>
        <v>SF</v>
      </c>
      <c r="N18" s="471">
        <f>_xlfn.XLOOKUP($A18,'Physical Condition Assessment'!$U:$U,'Physical Condition Assessment'!$AP:$AP,"!!!!!",0)</f>
        <v>0</v>
      </c>
      <c r="O18" s="526">
        <f t="shared" si="0"/>
        <v>0</v>
      </c>
      <c r="P18" s="502" t="str">
        <f t="shared" si="1"/>
        <v>Green</v>
      </c>
      <c r="R18" s="502" t="str">
        <f t="shared" si="2"/>
        <v/>
      </c>
      <c r="S18" s="502" t="str">
        <f t="shared" si="3"/>
        <v/>
      </c>
      <c r="T18" s="95" t="s">
        <v>470</v>
      </c>
      <c r="U18" s="95" t="s">
        <v>476</v>
      </c>
      <c r="V18" s="95" t="s">
        <v>476</v>
      </c>
      <c r="W18" s="95" t="s">
        <v>428</v>
      </c>
      <c r="X18" s="95" t="s">
        <v>472</v>
      </c>
      <c r="Y18" s="95" t="s">
        <v>161</v>
      </c>
      <c r="Z18" s="95" t="s">
        <v>477</v>
      </c>
      <c r="AA18" s="95" t="s">
        <v>83</v>
      </c>
      <c r="AB18" s="95" t="s">
        <v>478</v>
      </c>
    </row>
    <row r="19" spans="1:28" x14ac:dyDescent="0.2">
      <c r="A19" s="502" t="s">
        <v>111</v>
      </c>
      <c r="B19" s="469">
        <f>_xlfn.XLOOKUP($A19,'Physical Condition Assessment'!$U:$U,'Physical Condition Assessment'!$E:$E,"!!!!!",0)</f>
        <v>0</v>
      </c>
      <c r="C19" s="469">
        <f>_xlfn.XLOOKUP($A19,'Physical Condition Assessment'!$U:$U,'Physical Condition Assessment'!$F:$F,"!!!!!",0)</f>
        <v>0</v>
      </c>
      <c r="D19" s="469">
        <f>_xlfn.XLOOKUP($A19,'Physical Condition Assessment'!$U:$U,'Physical Condition Assessment'!$H:$H,"!!!!!",0)</f>
        <v>0</v>
      </c>
      <c r="E19" s="469">
        <f>_xlfn.XLOOKUP($A19,'Physical Condition Assessment'!$U:$U,'Physical Condition Assessment'!$J:$J,"!!!!!",0)</f>
        <v>0</v>
      </c>
      <c r="F19" s="469">
        <f>_xlfn.XLOOKUP($A19,'Physical Condition Assessment'!$U:$U,'Physical Condition Assessment'!$L:$L,"!!!!!",0)</f>
        <v>0</v>
      </c>
      <c r="G19" s="469">
        <f>_xlfn.XLOOKUP($A19,'Physical Condition Assessment'!$U:$U,'Physical Condition Assessment'!$N:$N,"!!!!!",0)</f>
        <v>0</v>
      </c>
      <c r="H19" s="469">
        <f>_xlfn.XLOOKUP($A19,'Physical Condition Assessment'!$U:$U,'Physical Condition Assessment'!$P:$P,"!!!!!",0)</f>
        <v>0</v>
      </c>
      <c r="I19" s="525">
        <f>_xlfn.XLOOKUP($A19,'Physical Condition Assessment'!$U:$U,'Physical Condition Assessment'!$R:$R,"!!!!!",0)</f>
        <v>0</v>
      </c>
      <c r="J19" s="471">
        <f>_xlfn.XLOOKUP($A19,'Physical Condition Assessment'!$U:$U,'Physical Condition Assessment'!$S:$S,"!!!!!",0)</f>
        <v>0</v>
      </c>
      <c r="K19" s="469">
        <f>_xlfn.XLOOKUP($A19,'Physical Condition Assessment'!$U:$U,'Physical Condition Assessment'!$T:$T,"!!!!!",0)</f>
        <v>0</v>
      </c>
      <c r="L19" s="502" t="str">
        <f>_xlfn.XLOOKUP($A19,'Physical Condition Assessment'!$U:$U,'Physical Condition Assessment'!$V:$V,"missing",0)</f>
        <v>Exterior Structure</v>
      </c>
      <c r="M19" s="469" t="str">
        <f>_xlfn.XLOOKUP($A19,'Physical Condition Assessment'!$U:$U,'Physical Condition Assessment'!$AE:$AE,"!!!!!",0)</f>
        <v>SF</v>
      </c>
      <c r="N19" s="471">
        <f>_xlfn.XLOOKUP($A19,'Physical Condition Assessment'!$U:$U,'Physical Condition Assessment'!$AP:$AP,"!!!!!",0)</f>
        <v>0</v>
      </c>
      <c r="O19" s="526">
        <f t="shared" si="0"/>
        <v>0</v>
      </c>
      <c r="P19" s="502" t="str">
        <f t="shared" si="1"/>
        <v>Green</v>
      </c>
      <c r="R19" s="502" t="str">
        <f t="shared" si="2"/>
        <v/>
      </c>
      <c r="S19" s="502" t="str">
        <f t="shared" si="3"/>
        <v/>
      </c>
      <c r="T19" s="95" t="s">
        <v>470</v>
      </c>
      <c r="U19" s="95" t="s">
        <v>479</v>
      </c>
      <c r="V19" s="95" t="s">
        <v>479</v>
      </c>
      <c r="W19" s="95" t="s">
        <v>428</v>
      </c>
      <c r="X19" s="95" t="s">
        <v>472</v>
      </c>
      <c r="Y19" s="95" t="s">
        <v>161</v>
      </c>
      <c r="Z19" s="95" t="s">
        <v>480</v>
      </c>
      <c r="AA19" s="95" t="s">
        <v>481</v>
      </c>
    </row>
    <row r="20" spans="1:28" x14ac:dyDescent="0.2">
      <c r="A20" s="502" t="s">
        <v>107</v>
      </c>
      <c r="B20" s="469">
        <f>_xlfn.XLOOKUP($A20,'Physical Condition Assessment'!$U:$U,'Physical Condition Assessment'!$E:$E,"!!!!!",0)</f>
        <v>0</v>
      </c>
      <c r="C20" s="469">
        <f>_xlfn.XLOOKUP($A20,'Physical Condition Assessment'!$U:$U,'Physical Condition Assessment'!$F:$F,"!!!!!",0)</f>
        <v>0</v>
      </c>
      <c r="D20" s="469">
        <f>_xlfn.XLOOKUP($A20,'Physical Condition Assessment'!$U:$U,'Physical Condition Assessment'!$H:$H,"!!!!!",0)</f>
        <v>0</v>
      </c>
      <c r="E20" s="469">
        <f>_xlfn.XLOOKUP($A20,'Physical Condition Assessment'!$U:$U,'Physical Condition Assessment'!$J:$J,"!!!!!",0)</f>
        <v>0</v>
      </c>
      <c r="F20" s="469">
        <f>_xlfn.XLOOKUP($A20,'Physical Condition Assessment'!$U:$U,'Physical Condition Assessment'!$L:$L,"!!!!!",0)</f>
        <v>0</v>
      </c>
      <c r="G20" s="469">
        <f>_xlfn.XLOOKUP($A20,'Physical Condition Assessment'!$U:$U,'Physical Condition Assessment'!$N:$N,"!!!!!",0)</f>
        <v>0</v>
      </c>
      <c r="H20" s="469">
        <f>_xlfn.XLOOKUP($A20,'Physical Condition Assessment'!$U:$U,'Physical Condition Assessment'!$P:$P,"!!!!!",0)</f>
        <v>0</v>
      </c>
      <c r="I20" s="525">
        <f>_xlfn.XLOOKUP($A20,'Physical Condition Assessment'!$U:$U,'Physical Condition Assessment'!$R:$R,"!!!!!",0)</f>
        <v>0</v>
      </c>
      <c r="J20" s="471">
        <f>_xlfn.XLOOKUP($A20,'Physical Condition Assessment'!$U:$U,'Physical Condition Assessment'!$S:$S,"!!!!!",0)</f>
        <v>0</v>
      </c>
      <c r="K20" s="469">
        <f>_xlfn.XLOOKUP($A20,'Physical Condition Assessment'!$U:$U,'Physical Condition Assessment'!$T:$T,"!!!!!",0)</f>
        <v>0</v>
      </c>
      <c r="L20" s="502" t="str">
        <f>_xlfn.XLOOKUP($A20,'Physical Condition Assessment'!$U:$U,'Physical Condition Assessment'!$V:$V,"missing",0)</f>
        <v>Exterior Structure</v>
      </c>
      <c r="M20" s="469" t="str">
        <f>_xlfn.XLOOKUP($A20,'Physical Condition Assessment'!$U:$U,'Physical Condition Assessment'!$AE:$AE,"!!!!!",0)</f>
        <v>SF</v>
      </c>
      <c r="N20" s="471">
        <f>_xlfn.XLOOKUP($A20,'Physical Condition Assessment'!$U:$U,'Physical Condition Assessment'!$AP:$AP,"!!!!!",0)</f>
        <v>0</v>
      </c>
      <c r="O20" s="526">
        <f t="shared" si="0"/>
        <v>0</v>
      </c>
      <c r="P20" s="502" t="str">
        <f t="shared" si="1"/>
        <v>Green</v>
      </c>
      <c r="R20" s="502" t="str">
        <f t="shared" si="2"/>
        <v/>
      </c>
      <c r="S20" s="502" t="str">
        <f t="shared" si="3"/>
        <v/>
      </c>
      <c r="T20" s="95" t="s">
        <v>470</v>
      </c>
      <c r="U20" s="95" t="s">
        <v>482</v>
      </c>
      <c r="V20" s="95" t="s">
        <v>482</v>
      </c>
      <c r="W20" s="95" t="s">
        <v>428</v>
      </c>
      <c r="X20" s="95" t="s">
        <v>472</v>
      </c>
      <c r="Y20" s="95" t="s">
        <v>161</v>
      </c>
      <c r="Z20" s="95" t="s">
        <v>483</v>
      </c>
      <c r="AA20" s="95" t="s">
        <v>484</v>
      </c>
    </row>
    <row r="21" spans="1:28" x14ac:dyDescent="0.2">
      <c r="A21" s="502" t="s">
        <v>109</v>
      </c>
      <c r="B21" s="469">
        <f>_xlfn.XLOOKUP($A21,'Physical Condition Assessment'!$U:$U,'Physical Condition Assessment'!$E:$E,"!!!!!",0)</f>
        <v>0</v>
      </c>
      <c r="C21" s="469">
        <f>_xlfn.XLOOKUP($A21,'Physical Condition Assessment'!$U:$U,'Physical Condition Assessment'!$F:$F,"!!!!!",0)</f>
        <v>0</v>
      </c>
      <c r="D21" s="469">
        <f>_xlfn.XLOOKUP($A21,'Physical Condition Assessment'!$U:$U,'Physical Condition Assessment'!$H:$H,"!!!!!",0)</f>
        <v>0</v>
      </c>
      <c r="E21" s="469">
        <f>_xlfn.XLOOKUP($A21,'Physical Condition Assessment'!$U:$U,'Physical Condition Assessment'!$J:$J,"!!!!!",0)</f>
        <v>0</v>
      </c>
      <c r="F21" s="469">
        <f>_xlfn.XLOOKUP($A21,'Physical Condition Assessment'!$U:$U,'Physical Condition Assessment'!$L:$L,"!!!!!",0)</f>
        <v>0</v>
      </c>
      <c r="G21" s="469">
        <f>_xlfn.XLOOKUP($A21,'Physical Condition Assessment'!$U:$U,'Physical Condition Assessment'!$N:$N,"!!!!!",0)</f>
        <v>0</v>
      </c>
      <c r="H21" s="469">
        <f>_xlfn.XLOOKUP($A21,'Physical Condition Assessment'!$U:$U,'Physical Condition Assessment'!$P:$P,"!!!!!",0)</f>
        <v>0</v>
      </c>
      <c r="I21" s="525">
        <f>_xlfn.XLOOKUP($A21,'Physical Condition Assessment'!$U:$U,'Physical Condition Assessment'!$R:$R,"!!!!!",0)</f>
        <v>0</v>
      </c>
      <c r="J21" s="471">
        <f>_xlfn.XLOOKUP($A21,'Physical Condition Assessment'!$U:$U,'Physical Condition Assessment'!$S:$S,"!!!!!",0)</f>
        <v>0</v>
      </c>
      <c r="K21" s="469">
        <f>_xlfn.XLOOKUP($A21,'Physical Condition Assessment'!$U:$U,'Physical Condition Assessment'!$T:$T,"!!!!!",0)</f>
        <v>0</v>
      </c>
      <c r="L21" s="502" t="str">
        <f>_xlfn.XLOOKUP($A21,'Physical Condition Assessment'!$U:$U,'Physical Condition Assessment'!$V:$V,"missing",0)</f>
        <v>Exterior Structure</v>
      </c>
      <c r="M21" s="469" t="str">
        <f>_xlfn.XLOOKUP($A21,'Physical Condition Assessment'!$U:$U,'Physical Condition Assessment'!$AE:$AE,"!!!!!",0)</f>
        <v>SF</v>
      </c>
      <c r="N21" s="471">
        <f>_xlfn.XLOOKUP($A21,'Physical Condition Assessment'!$U:$U,'Physical Condition Assessment'!$AP:$AP,"!!!!!",0)</f>
        <v>0</v>
      </c>
      <c r="O21" s="526">
        <f t="shared" si="0"/>
        <v>0</v>
      </c>
      <c r="P21" s="502" t="str">
        <f t="shared" si="1"/>
        <v>Green</v>
      </c>
      <c r="R21" s="502" t="str">
        <f t="shared" si="2"/>
        <v/>
      </c>
      <c r="S21" s="502" t="str">
        <f t="shared" si="3"/>
        <v/>
      </c>
      <c r="T21" s="95" t="s">
        <v>470</v>
      </c>
      <c r="U21" s="95" t="s">
        <v>485</v>
      </c>
      <c r="V21" s="95" t="s">
        <v>486</v>
      </c>
      <c r="W21" s="95" t="s">
        <v>428</v>
      </c>
      <c r="X21" s="95" t="s">
        <v>472</v>
      </c>
      <c r="Y21" s="95" t="s">
        <v>161</v>
      </c>
      <c r="Z21" s="95" t="s">
        <v>487</v>
      </c>
    </row>
    <row r="22" spans="1:28" x14ac:dyDescent="0.2">
      <c r="A22" s="502" t="s">
        <v>103</v>
      </c>
      <c r="B22" s="469">
        <f>_xlfn.XLOOKUP($A22,'Physical Condition Assessment'!$U:$U,'Physical Condition Assessment'!$E:$E,"!!!!!",0)</f>
        <v>0</v>
      </c>
      <c r="C22" s="469">
        <f>_xlfn.XLOOKUP($A22,'Physical Condition Assessment'!$U:$U,'Physical Condition Assessment'!$F:$F,"!!!!!",0)</f>
        <v>0</v>
      </c>
      <c r="D22" s="469">
        <f>_xlfn.XLOOKUP($A22,'Physical Condition Assessment'!$U:$U,'Physical Condition Assessment'!$H:$H,"!!!!!",0)</f>
        <v>0</v>
      </c>
      <c r="E22" s="469">
        <f>_xlfn.XLOOKUP($A22,'Physical Condition Assessment'!$U:$U,'Physical Condition Assessment'!$J:$J,"!!!!!",0)</f>
        <v>0</v>
      </c>
      <c r="F22" s="469">
        <f>_xlfn.XLOOKUP($A22,'Physical Condition Assessment'!$U:$U,'Physical Condition Assessment'!$L:$L,"!!!!!",0)</f>
        <v>0</v>
      </c>
      <c r="G22" s="469">
        <f>_xlfn.XLOOKUP($A22,'Physical Condition Assessment'!$U:$U,'Physical Condition Assessment'!$N:$N,"!!!!!",0)</f>
        <v>0</v>
      </c>
      <c r="H22" s="469">
        <f>_xlfn.XLOOKUP($A22,'Physical Condition Assessment'!$U:$U,'Physical Condition Assessment'!$P:$P,"!!!!!",0)</f>
        <v>0</v>
      </c>
      <c r="I22" s="525">
        <f>_xlfn.XLOOKUP($A22,'Physical Condition Assessment'!$U:$U,'Physical Condition Assessment'!$R:$R,"!!!!!",0)</f>
        <v>0</v>
      </c>
      <c r="J22" s="471">
        <f>_xlfn.XLOOKUP($A22,'Physical Condition Assessment'!$U:$U,'Physical Condition Assessment'!$S:$S,"!!!!!",0)</f>
        <v>0</v>
      </c>
      <c r="K22" s="469">
        <f>_xlfn.XLOOKUP($A22,'Physical Condition Assessment'!$U:$U,'Physical Condition Assessment'!$T:$T,"!!!!!",0)</f>
        <v>0</v>
      </c>
      <c r="L22" s="502" t="str">
        <f>_xlfn.XLOOKUP($A22,'Physical Condition Assessment'!$U:$U,'Physical Condition Assessment'!$V:$V,"missing",0)</f>
        <v>Exterior Structure</v>
      </c>
      <c r="M22" s="469" t="str">
        <f>_xlfn.XLOOKUP($A22,'Physical Condition Assessment'!$U:$U,'Physical Condition Assessment'!$AE:$AE,"!!!!!",0)</f>
        <v>SF</v>
      </c>
      <c r="N22" s="471">
        <f>_xlfn.XLOOKUP($A22,'Physical Condition Assessment'!$U:$U,'Physical Condition Assessment'!$AP:$AP,"!!!!!",0)</f>
        <v>0</v>
      </c>
      <c r="O22" s="526">
        <f t="shared" si="0"/>
        <v>0</v>
      </c>
      <c r="P22" s="502" t="str">
        <f t="shared" si="1"/>
        <v>Green</v>
      </c>
      <c r="R22" s="502" t="str">
        <f t="shared" si="2"/>
        <v/>
      </c>
      <c r="S22" s="502" t="str">
        <f t="shared" si="3"/>
        <v/>
      </c>
      <c r="T22" s="95" t="s">
        <v>470</v>
      </c>
      <c r="U22" s="95" t="s">
        <v>488</v>
      </c>
      <c r="V22" s="95" t="s">
        <v>489</v>
      </c>
      <c r="W22" s="95" t="s">
        <v>428</v>
      </c>
      <c r="X22" s="95" t="s">
        <v>472</v>
      </c>
      <c r="Y22" s="95" t="s">
        <v>102</v>
      </c>
    </row>
    <row r="23" spans="1:28" x14ac:dyDescent="0.2">
      <c r="A23" s="502" t="s">
        <v>118</v>
      </c>
      <c r="B23" s="469">
        <f>_xlfn.XLOOKUP($A23,'Physical Condition Assessment'!$U:$U,'Physical Condition Assessment'!$E:$E,"!!!!!",0)</f>
        <v>0</v>
      </c>
      <c r="C23" s="469">
        <f>_xlfn.XLOOKUP($A23,'Physical Condition Assessment'!$U:$U,'Physical Condition Assessment'!$F:$F,"!!!!!",0)</f>
        <v>0</v>
      </c>
      <c r="D23" s="469">
        <f>_xlfn.XLOOKUP($A23,'Physical Condition Assessment'!$U:$U,'Physical Condition Assessment'!$H:$H,"!!!!!",0)</f>
        <v>0</v>
      </c>
      <c r="E23" s="469">
        <f>_xlfn.XLOOKUP($A23,'Physical Condition Assessment'!$U:$U,'Physical Condition Assessment'!$J:$J,"!!!!!",0)</f>
        <v>0</v>
      </c>
      <c r="F23" s="469">
        <f>_xlfn.XLOOKUP($A23,'Physical Condition Assessment'!$U:$U,'Physical Condition Assessment'!$L:$L,"!!!!!",0)</f>
        <v>0</v>
      </c>
      <c r="G23" s="469">
        <f>_xlfn.XLOOKUP($A23,'Physical Condition Assessment'!$U:$U,'Physical Condition Assessment'!$N:$N,"!!!!!",0)</f>
        <v>0</v>
      </c>
      <c r="H23" s="469">
        <f>_xlfn.XLOOKUP($A23,'Physical Condition Assessment'!$U:$U,'Physical Condition Assessment'!$P:$P,"!!!!!",0)</f>
        <v>0</v>
      </c>
      <c r="I23" s="525">
        <f>_xlfn.XLOOKUP($A23,'Physical Condition Assessment'!$U:$U,'Physical Condition Assessment'!$R:$R,"!!!!!",0)</f>
        <v>0</v>
      </c>
      <c r="J23" s="471">
        <f>_xlfn.XLOOKUP($A23,'Physical Condition Assessment'!$U:$U,'Physical Condition Assessment'!$S:$S,"!!!!!",0)</f>
        <v>0</v>
      </c>
      <c r="K23" s="469">
        <f>_xlfn.XLOOKUP($A23,'Physical Condition Assessment'!$U:$U,'Physical Condition Assessment'!$T:$T,"!!!!!",0)</f>
        <v>0</v>
      </c>
      <c r="L23" s="502" t="str">
        <f>_xlfn.XLOOKUP($A23,'Physical Condition Assessment'!$U:$U,'Physical Condition Assessment'!$V:$V,"missing",0)</f>
        <v>Exterior/Interior Windows</v>
      </c>
      <c r="M23" s="469" t="str">
        <f>_xlfn.XLOOKUP($A23,'Physical Condition Assessment'!$U:$U,'Physical Condition Assessment'!$AE:$AE,"!!!!!",0)</f>
        <v>Unit</v>
      </c>
      <c r="N23" s="471">
        <f>_xlfn.XLOOKUP($A23,'Physical Condition Assessment'!$U:$U,'Physical Condition Assessment'!$AP:$AP,"!!!!!",0)</f>
        <v>0</v>
      </c>
      <c r="O23" s="526">
        <f t="shared" si="0"/>
        <v>0</v>
      </c>
      <c r="P23" s="502" t="str">
        <f t="shared" si="1"/>
        <v>Green</v>
      </c>
      <c r="R23" s="502" t="str">
        <f t="shared" si="2"/>
        <v/>
      </c>
      <c r="S23" s="502" t="str">
        <f t="shared" si="3"/>
        <v/>
      </c>
      <c r="T23" s="95" t="s">
        <v>490</v>
      </c>
      <c r="U23" s="95" t="s">
        <v>491</v>
      </c>
      <c r="V23" s="95" t="s">
        <v>492</v>
      </c>
      <c r="W23" s="95" t="s">
        <v>428</v>
      </c>
      <c r="X23" s="95" t="s">
        <v>493</v>
      </c>
      <c r="Y23" s="95" t="s">
        <v>117</v>
      </c>
    </row>
    <row r="24" spans="1:28" x14ac:dyDescent="0.2">
      <c r="A24" s="502" t="s">
        <v>120</v>
      </c>
      <c r="B24" s="469">
        <f>_xlfn.XLOOKUP($A24,'Physical Condition Assessment'!$U:$U,'Physical Condition Assessment'!$E:$E,"!!!!!",0)</f>
        <v>0</v>
      </c>
      <c r="C24" s="469">
        <f>_xlfn.XLOOKUP($A24,'Physical Condition Assessment'!$U:$U,'Physical Condition Assessment'!$F:$F,"!!!!!",0)</f>
        <v>0</v>
      </c>
      <c r="D24" s="469">
        <f>_xlfn.XLOOKUP($A24,'Physical Condition Assessment'!$U:$U,'Physical Condition Assessment'!$H:$H,"!!!!!",0)</f>
        <v>0</v>
      </c>
      <c r="E24" s="469">
        <f>_xlfn.XLOOKUP($A24,'Physical Condition Assessment'!$U:$U,'Physical Condition Assessment'!$J:$J,"!!!!!",0)</f>
        <v>0</v>
      </c>
      <c r="F24" s="469">
        <f>_xlfn.XLOOKUP($A24,'Physical Condition Assessment'!$U:$U,'Physical Condition Assessment'!$L:$L,"!!!!!",0)</f>
        <v>0</v>
      </c>
      <c r="G24" s="469">
        <f>_xlfn.XLOOKUP($A24,'Physical Condition Assessment'!$U:$U,'Physical Condition Assessment'!$N:$N,"!!!!!",0)</f>
        <v>0</v>
      </c>
      <c r="H24" s="469">
        <f>_xlfn.XLOOKUP($A24,'Physical Condition Assessment'!$U:$U,'Physical Condition Assessment'!$P:$P,"!!!!!",0)</f>
        <v>0</v>
      </c>
      <c r="I24" s="525">
        <f>_xlfn.XLOOKUP($A24,'Physical Condition Assessment'!$U:$U,'Physical Condition Assessment'!$R:$R,"!!!!!",0)</f>
        <v>0</v>
      </c>
      <c r="J24" s="471">
        <f>_xlfn.XLOOKUP($A24,'Physical Condition Assessment'!$U:$U,'Physical Condition Assessment'!$S:$S,"!!!!!",0)</f>
        <v>0</v>
      </c>
      <c r="K24" s="469">
        <f>_xlfn.XLOOKUP($A24,'Physical Condition Assessment'!$U:$U,'Physical Condition Assessment'!$T:$T,"!!!!!",0)</f>
        <v>0</v>
      </c>
      <c r="L24" s="502" t="str">
        <f>_xlfn.XLOOKUP($A24,'Physical Condition Assessment'!$U:$U,'Physical Condition Assessment'!$V:$V,"missing",0)</f>
        <v>Exterior/Interior Windows</v>
      </c>
      <c r="M24" s="469" t="str">
        <f>_xlfn.XLOOKUP($A24,'Physical Condition Assessment'!$U:$U,'Physical Condition Assessment'!$AE:$AE,"!!!!!",0)</f>
        <v>Unit</v>
      </c>
      <c r="N24" s="471">
        <f>_xlfn.XLOOKUP($A24,'Physical Condition Assessment'!$U:$U,'Physical Condition Assessment'!$AP:$AP,"!!!!!",0)</f>
        <v>0</v>
      </c>
      <c r="O24" s="526">
        <f t="shared" si="0"/>
        <v>0</v>
      </c>
      <c r="P24" s="502" t="str">
        <f t="shared" si="1"/>
        <v>Green</v>
      </c>
      <c r="R24" s="502" t="str">
        <f t="shared" si="2"/>
        <v/>
      </c>
      <c r="S24" s="502" t="str">
        <f t="shared" si="3"/>
        <v/>
      </c>
      <c r="T24" s="95" t="s">
        <v>490</v>
      </c>
      <c r="U24" s="95" t="s">
        <v>494</v>
      </c>
      <c r="V24" s="95" t="s">
        <v>495</v>
      </c>
      <c r="W24" s="95" t="s">
        <v>428</v>
      </c>
      <c r="X24" s="95" t="s">
        <v>493</v>
      </c>
      <c r="Y24" s="95" t="s">
        <v>119</v>
      </c>
    </row>
    <row r="25" spans="1:28" x14ac:dyDescent="0.2">
      <c r="A25" s="502" t="s">
        <v>122</v>
      </c>
      <c r="B25" s="469">
        <f>_xlfn.XLOOKUP($A25,'Physical Condition Assessment'!$U:$U,'Physical Condition Assessment'!$E:$E,"!!!!!",0)</f>
        <v>0</v>
      </c>
      <c r="C25" s="469">
        <f>_xlfn.XLOOKUP($A25,'Physical Condition Assessment'!$U:$U,'Physical Condition Assessment'!$F:$F,"!!!!!",0)</f>
        <v>0</v>
      </c>
      <c r="D25" s="469">
        <f>_xlfn.XLOOKUP($A25,'Physical Condition Assessment'!$U:$U,'Physical Condition Assessment'!$H:$H,"!!!!!",0)</f>
        <v>0</v>
      </c>
      <c r="E25" s="469">
        <f>_xlfn.XLOOKUP($A25,'Physical Condition Assessment'!$U:$U,'Physical Condition Assessment'!$J:$J,"!!!!!",0)</f>
        <v>0</v>
      </c>
      <c r="F25" s="469">
        <f>_xlfn.XLOOKUP($A25,'Physical Condition Assessment'!$U:$U,'Physical Condition Assessment'!$L:$L,"!!!!!",0)</f>
        <v>0</v>
      </c>
      <c r="G25" s="469">
        <f>_xlfn.XLOOKUP($A25,'Physical Condition Assessment'!$U:$U,'Physical Condition Assessment'!$N:$N,"!!!!!",0)</f>
        <v>0</v>
      </c>
      <c r="H25" s="469">
        <f>_xlfn.XLOOKUP($A25,'Physical Condition Assessment'!$U:$U,'Physical Condition Assessment'!$P:$P,"!!!!!",0)</f>
        <v>0</v>
      </c>
      <c r="I25" s="525">
        <f>_xlfn.XLOOKUP($A25,'Physical Condition Assessment'!$U:$U,'Physical Condition Assessment'!$R:$R,"!!!!!",0)</f>
        <v>0</v>
      </c>
      <c r="J25" s="471">
        <f>_xlfn.XLOOKUP($A25,'Physical Condition Assessment'!$U:$U,'Physical Condition Assessment'!$S:$S,"!!!!!",0)</f>
        <v>0</v>
      </c>
      <c r="K25" s="469">
        <f>_xlfn.XLOOKUP($A25,'Physical Condition Assessment'!$U:$U,'Physical Condition Assessment'!$T:$T,"!!!!!",0)</f>
        <v>0</v>
      </c>
      <c r="L25" s="502" t="str">
        <f>_xlfn.XLOOKUP($A25,'Physical Condition Assessment'!$U:$U,'Physical Condition Assessment'!$V:$V,"missing",0)</f>
        <v>Exterior/Interior Windows</v>
      </c>
      <c r="M25" s="469" t="str">
        <f>_xlfn.XLOOKUP($A25,'Physical Condition Assessment'!$U:$U,'Physical Condition Assessment'!$AE:$AE,"!!!!!",0)</f>
        <v>Unit</v>
      </c>
      <c r="N25" s="471">
        <f>_xlfn.XLOOKUP($A25,'Physical Condition Assessment'!$U:$U,'Physical Condition Assessment'!$AP:$AP,"!!!!!",0)</f>
        <v>0</v>
      </c>
      <c r="O25" s="526">
        <f t="shared" si="0"/>
        <v>0</v>
      </c>
      <c r="P25" s="502" t="str">
        <f t="shared" si="1"/>
        <v>Green</v>
      </c>
      <c r="R25" s="502" t="str">
        <f t="shared" si="2"/>
        <v/>
      </c>
      <c r="S25" s="502" t="str">
        <f t="shared" si="3"/>
        <v/>
      </c>
      <c r="T25" s="95" t="s">
        <v>490</v>
      </c>
      <c r="U25" s="95" t="s">
        <v>496</v>
      </c>
      <c r="V25" s="95" t="s">
        <v>497</v>
      </c>
      <c r="W25" s="95" t="s">
        <v>428</v>
      </c>
      <c r="X25" s="95" t="s">
        <v>493</v>
      </c>
      <c r="Y25" s="95" t="s">
        <v>498</v>
      </c>
      <c r="Z25" s="95" t="s">
        <v>499</v>
      </c>
    </row>
    <row r="26" spans="1:28" x14ac:dyDescent="0.2">
      <c r="A26" s="502" t="s">
        <v>113</v>
      </c>
      <c r="B26" s="469">
        <f>_xlfn.XLOOKUP($A26,'Physical Condition Assessment'!$U:$U,'Physical Condition Assessment'!$E:$E,"!!!!!",0)</f>
        <v>0</v>
      </c>
      <c r="C26" s="469">
        <f>_xlfn.XLOOKUP($A26,'Physical Condition Assessment'!$U:$U,'Physical Condition Assessment'!$F:$F,"!!!!!",0)</f>
        <v>0</v>
      </c>
      <c r="D26" s="469">
        <f>_xlfn.XLOOKUP($A26,'Physical Condition Assessment'!$U:$U,'Physical Condition Assessment'!$H:$H,"!!!!!",0)</f>
        <v>0</v>
      </c>
      <c r="E26" s="469">
        <f>_xlfn.XLOOKUP($A26,'Physical Condition Assessment'!$U:$U,'Physical Condition Assessment'!$J:$J,"!!!!!",0)</f>
        <v>0</v>
      </c>
      <c r="F26" s="469">
        <f>_xlfn.XLOOKUP($A26,'Physical Condition Assessment'!$U:$U,'Physical Condition Assessment'!$L:$L,"!!!!!",0)</f>
        <v>0</v>
      </c>
      <c r="G26" s="469">
        <f>_xlfn.XLOOKUP($A26,'Physical Condition Assessment'!$U:$U,'Physical Condition Assessment'!$N:$N,"!!!!!",0)</f>
        <v>0</v>
      </c>
      <c r="H26" s="469">
        <f>_xlfn.XLOOKUP($A26,'Physical Condition Assessment'!$U:$U,'Physical Condition Assessment'!$P:$P,"!!!!!",0)</f>
        <v>0</v>
      </c>
      <c r="I26" s="525">
        <f>_xlfn.XLOOKUP($A26,'Physical Condition Assessment'!$U:$U,'Physical Condition Assessment'!$R:$R,"!!!!!",0)</f>
        <v>0</v>
      </c>
      <c r="J26" s="471">
        <f>_xlfn.XLOOKUP($A26,'Physical Condition Assessment'!$U:$U,'Physical Condition Assessment'!$S:$S,"!!!!!",0)</f>
        <v>0</v>
      </c>
      <c r="K26" s="469">
        <f>_xlfn.XLOOKUP($A26,'Physical Condition Assessment'!$U:$U,'Physical Condition Assessment'!$T:$T,"!!!!!",0)</f>
        <v>0</v>
      </c>
      <c r="L26" s="502" t="str">
        <f>_xlfn.XLOOKUP($A26,'Physical Condition Assessment'!$U:$U,'Physical Condition Assessment'!$V:$V,"missing",0)</f>
        <v>Exterior/Interior Windows</v>
      </c>
      <c r="M26" s="469" t="str">
        <f>_xlfn.XLOOKUP($A26,'Physical Condition Assessment'!$U:$U,'Physical Condition Assessment'!$AE:$AE,"!!!!!",0)</f>
        <v>Unit</v>
      </c>
      <c r="N26" s="471">
        <f>_xlfn.XLOOKUP($A26,'Physical Condition Assessment'!$U:$U,'Physical Condition Assessment'!$AP:$AP,"!!!!!",0)</f>
        <v>0</v>
      </c>
      <c r="O26" s="526">
        <f t="shared" si="0"/>
        <v>0</v>
      </c>
      <c r="P26" s="502" t="str">
        <f t="shared" si="1"/>
        <v>Green</v>
      </c>
      <c r="R26" s="502" t="str">
        <f t="shared" si="2"/>
        <v/>
      </c>
      <c r="S26" s="502" t="str">
        <f t="shared" si="3"/>
        <v/>
      </c>
      <c r="T26" s="95" t="s">
        <v>490</v>
      </c>
      <c r="U26" s="95" t="s">
        <v>500</v>
      </c>
      <c r="V26" s="95" t="s">
        <v>501</v>
      </c>
      <c r="W26" s="95" t="s">
        <v>428</v>
      </c>
      <c r="X26" s="95" t="s">
        <v>493</v>
      </c>
      <c r="Y26" s="95" t="s">
        <v>83</v>
      </c>
    </row>
    <row r="27" spans="1:28" x14ac:dyDescent="0.2">
      <c r="A27" s="502" t="s">
        <v>173</v>
      </c>
      <c r="B27" s="469">
        <f>_xlfn.XLOOKUP($A27,'Physical Condition Assessment'!$U:$U,'Physical Condition Assessment'!$E:$E,"!!!!!",0)</f>
        <v>0</v>
      </c>
      <c r="C27" s="469">
        <f>_xlfn.XLOOKUP($A27,'Physical Condition Assessment'!$U:$U,'Physical Condition Assessment'!$F:$F,"!!!!!",0)</f>
        <v>0</v>
      </c>
      <c r="D27" s="469">
        <f>_xlfn.XLOOKUP($A27,'Physical Condition Assessment'!$U:$U,'Physical Condition Assessment'!$H:$H,"!!!!!",0)</f>
        <v>0</v>
      </c>
      <c r="E27" s="469">
        <f>_xlfn.XLOOKUP($A27,'Physical Condition Assessment'!$U:$U,'Physical Condition Assessment'!$J:$J,"!!!!!",0)</f>
        <v>0</v>
      </c>
      <c r="F27" s="469">
        <f>_xlfn.XLOOKUP($A27,'Physical Condition Assessment'!$U:$U,'Physical Condition Assessment'!$L:$L,"!!!!!",0)</f>
        <v>0</v>
      </c>
      <c r="G27" s="469">
        <f>_xlfn.XLOOKUP($A27,'Physical Condition Assessment'!$U:$U,'Physical Condition Assessment'!$N:$N,"!!!!!",0)</f>
        <v>0</v>
      </c>
      <c r="H27" s="469">
        <f>_xlfn.XLOOKUP($A27,'Physical Condition Assessment'!$U:$U,'Physical Condition Assessment'!$P:$P,"!!!!!",0)</f>
        <v>0</v>
      </c>
      <c r="I27" s="525">
        <f>_xlfn.XLOOKUP($A27,'Physical Condition Assessment'!$U:$U,'Physical Condition Assessment'!$R:$R,"!!!!!",0)</f>
        <v>0</v>
      </c>
      <c r="J27" s="471">
        <f>_xlfn.XLOOKUP($A27,'Physical Condition Assessment'!$U:$U,'Physical Condition Assessment'!$S:$S,"!!!!!",0)</f>
        <v>0</v>
      </c>
      <c r="K27" s="469">
        <f>_xlfn.XLOOKUP($A27,'Physical Condition Assessment'!$U:$U,'Physical Condition Assessment'!$T:$T,"!!!!!",0)</f>
        <v>0</v>
      </c>
      <c r="L27" s="502" t="str">
        <f>_xlfn.XLOOKUP($A27,'Physical Condition Assessment'!$U:$U,'Physical Condition Assessment'!$V:$V,"missing",0)</f>
        <v>Exterior/Interior Windows</v>
      </c>
      <c r="M27" s="469" t="str">
        <f>_xlfn.XLOOKUP($A27,'Physical Condition Assessment'!$U:$U,'Physical Condition Assessment'!$AE:$AE,"!!!!!",0)</f>
        <v>Unit</v>
      </c>
      <c r="N27" s="471">
        <f>_xlfn.XLOOKUP($A27,'Physical Condition Assessment'!$U:$U,'Physical Condition Assessment'!$AP:$AP,"!!!!!",0)</f>
        <v>0</v>
      </c>
      <c r="O27" s="526">
        <f t="shared" si="0"/>
        <v>0</v>
      </c>
      <c r="P27" s="502" t="str">
        <f t="shared" si="1"/>
        <v>Green</v>
      </c>
      <c r="R27" s="502" t="str">
        <f t="shared" si="2"/>
        <v/>
      </c>
      <c r="S27" s="502" t="str">
        <f t="shared" si="3"/>
        <v/>
      </c>
      <c r="T27" s="95" t="s">
        <v>443</v>
      </c>
      <c r="U27" s="95" t="s">
        <v>502</v>
      </c>
      <c r="V27" s="95" t="s">
        <v>503</v>
      </c>
      <c r="W27" s="95" t="s">
        <v>502</v>
      </c>
    </row>
    <row r="28" spans="1:28" x14ac:dyDescent="0.2">
      <c r="A28" s="502" t="s">
        <v>174</v>
      </c>
      <c r="B28" s="469">
        <v>1</v>
      </c>
      <c r="C28" s="469">
        <f>_xlfn.XLOOKUP($A28,'Physical Condition Assessment'!$U:$U,'Physical Condition Assessment'!$F:$F,"!!!!!",0)</f>
        <v>0</v>
      </c>
      <c r="D28" s="469" t="s">
        <v>2021</v>
      </c>
      <c r="E28" s="469">
        <f>_xlfn.XLOOKUP($A28,'Physical Condition Assessment'!$U:$U,'Physical Condition Assessment'!$J:$J,"!!!!!",0)</f>
        <v>0</v>
      </c>
      <c r="F28" s="469">
        <f>_xlfn.XLOOKUP($A28,'Physical Condition Assessment'!$U:$U,'Physical Condition Assessment'!$L:$L,"!!!!!",0)</f>
        <v>0</v>
      </c>
      <c r="G28" s="469">
        <f>_xlfn.XLOOKUP($A28,'Physical Condition Assessment'!$U:$U,'Physical Condition Assessment'!$N:$N,"!!!!!",0)</f>
        <v>0</v>
      </c>
      <c r="H28" s="469">
        <f>_xlfn.XLOOKUP($A28,'Physical Condition Assessment'!$U:$U,'Physical Condition Assessment'!$P:$P,"!!!!!",0)</f>
        <v>0</v>
      </c>
      <c r="I28" s="525">
        <f>_xlfn.XLOOKUP($A28,'Physical Condition Assessment'!$U:$U,'Physical Condition Assessment'!$R:$R,"!!!!!",0)</f>
        <v>0</v>
      </c>
      <c r="J28" s="471">
        <f>_xlfn.XLOOKUP($A28,'Physical Condition Assessment'!$U:$U,'Physical Condition Assessment'!$S:$S,"!!!!!",0)</f>
        <v>0</v>
      </c>
      <c r="K28" s="469">
        <f>_xlfn.XLOOKUP($A28,'Physical Condition Assessment'!$U:$U,'Physical Condition Assessment'!$T:$T,"!!!!!",0)</f>
        <v>0</v>
      </c>
      <c r="L28" s="502" t="str">
        <f>_xlfn.XLOOKUP($A28,'Physical Condition Assessment'!$U:$U,'Physical Condition Assessment'!$V:$V,"missing",0)</f>
        <v>Exterior/Interior Windows</v>
      </c>
      <c r="M28" s="469" t="str">
        <f>_xlfn.XLOOKUP($A28,'Physical Condition Assessment'!$U:$U,'Physical Condition Assessment'!$AE:$AE,"!!!!!",0)</f>
        <v>Unit</v>
      </c>
      <c r="N28" s="471">
        <f>_xlfn.XLOOKUP($A28,'Physical Condition Assessment'!$U:$U,'Physical Condition Assessment'!$AP:$AP,"!!!!!",0)</f>
        <v>0</v>
      </c>
      <c r="O28" s="526">
        <f t="shared" si="0"/>
        <v>0</v>
      </c>
      <c r="P28" s="502" t="str">
        <f t="shared" si="1"/>
        <v>Green</v>
      </c>
      <c r="R28" s="502" t="str">
        <f t="shared" si="2"/>
        <v/>
      </c>
      <c r="S28" s="502" t="str">
        <f t="shared" si="3"/>
        <v/>
      </c>
      <c r="T28" s="95" t="s">
        <v>443</v>
      </c>
      <c r="U28" s="95" t="s">
        <v>504</v>
      </c>
      <c r="V28" s="95" t="s">
        <v>505</v>
      </c>
      <c r="W28" s="95" t="s">
        <v>504</v>
      </c>
    </row>
    <row r="29" spans="1:28" x14ac:dyDescent="0.2">
      <c r="A29" s="502" t="s">
        <v>172</v>
      </c>
      <c r="B29" s="469">
        <f>_xlfn.XLOOKUP($A29,'Physical Condition Assessment'!$U:$U,'Physical Condition Assessment'!$E:$E,"!!!!!",0)</f>
        <v>0</v>
      </c>
      <c r="C29" s="469">
        <f>_xlfn.XLOOKUP($A29,'Physical Condition Assessment'!$U:$U,'Physical Condition Assessment'!$F:$F,"!!!!!",0)</f>
        <v>0</v>
      </c>
      <c r="D29" s="469">
        <f>_xlfn.XLOOKUP($A29,'Physical Condition Assessment'!$U:$U,'Physical Condition Assessment'!$H:$H,"!!!!!",0)</f>
        <v>0</v>
      </c>
      <c r="E29" s="469">
        <f>_xlfn.XLOOKUP($A29,'Physical Condition Assessment'!$U:$U,'Physical Condition Assessment'!$J:$J,"!!!!!",0)</f>
        <v>0</v>
      </c>
      <c r="F29" s="469">
        <f>_xlfn.XLOOKUP($A29,'Physical Condition Assessment'!$U:$U,'Physical Condition Assessment'!$L:$L,"!!!!!",0)</f>
        <v>0</v>
      </c>
      <c r="G29" s="469">
        <f>_xlfn.XLOOKUP($A29,'Physical Condition Assessment'!$U:$U,'Physical Condition Assessment'!$N:$N,"!!!!!",0)</f>
        <v>0</v>
      </c>
      <c r="H29" s="469">
        <f>_xlfn.XLOOKUP($A29,'Physical Condition Assessment'!$U:$U,'Physical Condition Assessment'!$P:$P,"!!!!!",0)</f>
        <v>0</v>
      </c>
      <c r="I29" s="525">
        <f>_xlfn.XLOOKUP($A29,'Physical Condition Assessment'!$U:$U,'Physical Condition Assessment'!$R:$R,"!!!!!",0)</f>
        <v>0</v>
      </c>
      <c r="J29" s="471">
        <f>_xlfn.XLOOKUP($A29,'Physical Condition Assessment'!$U:$U,'Physical Condition Assessment'!$S:$S,"!!!!!",0)</f>
        <v>0</v>
      </c>
      <c r="K29" s="469">
        <f>_xlfn.XLOOKUP($A29,'Physical Condition Assessment'!$U:$U,'Physical Condition Assessment'!$T:$T,"!!!!!",0)</f>
        <v>0</v>
      </c>
      <c r="L29" s="502" t="str">
        <f>_xlfn.XLOOKUP($A29,'Physical Condition Assessment'!$U:$U,'Physical Condition Assessment'!$V:$V,"missing",0)</f>
        <v>Exterior/Interior Windows</v>
      </c>
      <c r="M29" s="469" t="str">
        <f>_xlfn.XLOOKUP($A29,'Physical Condition Assessment'!$U:$U,'Physical Condition Assessment'!$AE:$AE,"!!!!!",0)</f>
        <v>Unit</v>
      </c>
      <c r="N29" s="471">
        <f>_xlfn.XLOOKUP($A29,'Physical Condition Assessment'!$U:$U,'Physical Condition Assessment'!$AP:$AP,"!!!!!",0)</f>
        <v>0</v>
      </c>
      <c r="O29" s="526">
        <f t="shared" si="0"/>
        <v>0</v>
      </c>
      <c r="P29" s="502" t="str">
        <f t="shared" si="1"/>
        <v>Green</v>
      </c>
      <c r="R29" s="502" t="str">
        <f t="shared" si="2"/>
        <v/>
      </c>
      <c r="S29" s="502" t="str">
        <f t="shared" si="3"/>
        <v/>
      </c>
      <c r="T29" s="95" t="s">
        <v>443</v>
      </c>
      <c r="U29" s="95" t="s">
        <v>506</v>
      </c>
      <c r="V29" s="95" t="s">
        <v>507</v>
      </c>
      <c r="W29" s="95" t="s">
        <v>506</v>
      </c>
    </row>
    <row r="30" spans="1:28" x14ac:dyDescent="0.2">
      <c r="A30" s="502" t="s">
        <v>89</v>
      </c>
      <c r="B30" s="469">
        <f>_xlfn.XLOOKUP($A30,'Physical Condition Assessment'!$U:$U,'Physical Condition Assessment'!$E:$E,"!!!!!",0)</f>
        <v>0</v>
      </c>
      <c r="C30" s="469">
        <f>_xlfn.XLOOKUP($A30,'Physical Condition Assessment'!$U:$U,'Physical Condition Assessment'!$F:$F,"!!!!!",0)</f>
        <v>0</v>
      </c>
      <c r="D30" s="469" t="s">
        <v>2022</v>
      </c>
      <c r="E30" s="469">
        <f>_xlfn.XLOOKUP($A30,'Physical Condition Assessment'!$U:$U,'Physical Condition Assessment'!$J:$J,"!!!!!",0)</f>
        <v>0</v>
      </c>
      <c r="F30" s="469">
        <f>_xlfn.XLOOKUP($A30,'Physical Condition Assessment'!$U:$U,'Physical Condition Assessment'!$L:$L,"!!!!!",0)</f>
        <v>0</v>
      </c>
      <c r="G30" s="469">
        <f>_xlfn.XLOOKUP($A30,'Physical Condition Assessment'!$U:$U,'Physical Condition Assessment'!$N:$N,"!!!!!",0)</f>
        <v>0</v>
      </c>
      <c r="H30" s="469">
        <f>_xlfn.XLOOKUP($A30,'Physical Condition Assessment'!$U:$U,'Physical Condition Assessment'!$P:$P,"!!!!!",0)</f>
        <v>0</v>
      </c>
      <c r="I30" s="525">
        <f>_xlfn.XLOOKUP($A30,'Physical Condition Assessment'!$U:$U,'Physical Condition Assessment'!$R:$R,"!!!!!",0)</f>
        <v>0</v>
      </c>
      <c r="J30" s="471">
        <f>_xlfn.XLOOKUP($A30,'Physical Condition Assessment'!$U:$U,'Physical Condition Assessment'!$S:$S,"!!!!!",0)</f>
        <v>0</v>
      </c>
      <c r="K30" s="469">
        <f>_xlfn.XLOOKUP($A30,'Physical Condition Assessment'!$U:$U,'Physical Condition Assessment'!$T:$T,"!!!!!",0)</f>
        <v>0</v>
      </c>
      <c r="L30" s="502" t="str">
        <f>_xlfn.XLOOKUP($A30,'Physical Condition Assessment'!$U:$U,'Physical Condition Assessment'!$V:$V,"missing",0)</f>
        <v>Interior Structure</v>
      </c>
      <c r="M30" s="469" t="str">
        <f>_xlfn.XLOOKUP($A30,'Physical Condition Assessment'!$U:$U,'Physical Condition Assessment'!$AE:$AE,"!!!!!",0)</f>
        <v>SF</v>
      </c>
      <c r="N30" s="471">
        <f>_xlfn.XLOOKUP($A30,'Physical Condition Assessment'!$U:$U,'Physical Condition Assessment'!$AP:$AP,"!!!!!",0)</f>
        <v>0</v>
      </c>
      <c r="O30" s="526">
        <f t="shared" si="0"/>
        <v>0</v>
      </c>
      <c r="P30" s="502" t="str">
        <f t="shared" si="1"/>
        <v>Green</v>
      </c>
      <c r="R30" s="502" t="str">
        <f t="shared" si="2"/>
        <v/>
      </c>
      <c r="S30" s="502" t="str">
        <f t="shared" si="3"/>
        <v/>
      </c>
      <c r="T30" s="95" t="s">
        <v>508</v>
      </c>
      <c r="U30" s="95" t="s">
        <v>509</v>
      </c>
      <c r="V30" s="95" t="s">
        <v>510</v>
      </c>
      <c r="W30" s="95" t="s">
        <v>511</v>
      </c>
      <c r="X30" s="95" t="s">
        <v>512</v>
      </c>
      <c r="Y30" s="95" t="s">
        <v>88</v>
      </c>
    </row>
    <row r="31" spans="1:28" x14ac:dyDescent="0.2">
      <c r="A31" s="502" t="s">
        <v>87</v>
      </c>
      <c r="B31" s="469">
        <f>_xlfn.XLOOKUP($A31,'Physical Condition Assessment'!$U:$U,'Physical Condition Assessment'!$E:$E,"!!!!!",0)</f>
        <v>0</v>
      </c>
      <c r="C31" s="469">
        <f>_xlfn.XLOOKUP($A31,'Physical Condition Assessment'!$U:$U,'Physical Condition Assessment'!$F:$F,"!!!!!",0)</f>
        <v>0</v>
      </c>
      <c r="D31" s="469">
        <f>_xlfn.XLOOKUP($A31,'Physical Condition Assessment'!$U:$U,'Physical Condition Assessment'!$H:$H,"!!!!!",0)</f>
        <v>0</v>
      </c>
      <c r="E31" s="469">
        <f>_xlfn.XLOOKUP($A31,'Physical Condition Assessment'!$U:$U,'Physical Condition Assessment'!$J:$J,"!!!!!",0)</f>
        <v>0</v>
      </c>
      <c r="F31" s="469">
        <f>_xlfn.XLOOKUP($A31,'Physical Condition Assessment'!$U:$U,'Physical Condition Assessment'!$L:$L,"!!!!!",0)</f>
        <v>0</v>
      </c>
      <c r="G31" s="469">
        <f>_xlfn.XLOOKUP($A31,'Physical Condition Assessment'!$U:$U,'Physical Condition Assessment'!$N:$N,"!!!!!",0)</f>
        <v>0</v>
      </c>
      <c r="H31" s="469">
        <f>_xlfn.XLOOKUP($A31,'Physical Condition Assessment'!$U:$U,'Physical Condition Assessment'!$P:$P,"!!!!!",0)</f>
        <v>0</v>
      </c>
      <c r="I31" s="525">
        <f>_xlfn.XLOOKUP($A31,'Physical Condition Assessment'!$U:$U,'Physical Condition Assessment'!$R:$R,"!!!!!",0)</f>
        <v>0</v>
      </c>
      <c r="J31" s="471">
        <f>_xlfn.XLOOKUP($A31,'Physical Condition Assessment'!$U:$U,'Physical Condition Assessment'!$S:$S,"!!!!!",0)</f>
        <v>0</v>
      </c>
      <c r="K31" s="469">
        <f>_xlfn.XLOOKUP($A31,'Physical Condition Assessment'!$U:$U,'Physical Condition Assessment'!$T:$T,"!!!!!",0)</f>
        <v>0</v>
      </c>
      <c r="L31" s="502" t="str">
        <f>_xlfn.XLOOKUP($A31,'Physical Condition Assessment'!$U:$U,'Physical Condition Assessment'!$V:$V,"missing",0)</f>
        <v>Interior Structure</v>
      </c>
      <c r="M31" s="469" t="str">
        <f>_xlfn.XLOOKUP($A31,'Physical Condition Assessment'!$U:$U,'Physical Condition Assessment'!$AE:$AE,"!!!!!",0)</f>
        <v>SF</v>
      </c>
      <c r="N31" s="471">
        <f>_xlfn.XLOOKUP($A31,'Physical Condition Assessment'!$U:$U,'Physical Condition Assessment'!$AP:$AP,"!!!!!",0)</f>
        <v>0</v>
      </c>
      <c r="O31" s="526">
        <f t="shared" si="0"/>
        <v>0</v>
      </c>
      <c r="P31" s="502" t="str">
        <f t="shared" si="1"/>
        <v>Green</v>
      </c>
      <c r="R31" s="502" t="str">
        <f t="shared" si="2"/>
        <v/>
      </c>
      <c r="S31" s="502" t="str">
        <f t="shared" si="3"/>
        <v/>
      </c>
      <c r="T31" s="95" t="s">
        <v>508</v>
      </c>
      <c r="U31" s="95" t="s">
        <v>513</v>
      </c>
      <c r="V31" s="95" t="s">
        <v>514</v>
      </c>
      <c r="W31" s="95" t="s">
        <v>511</v>
      </c>
      <c r="X31" s="95" t="s">
        <v>512</v>
      </c>
      <c r="Y31" s="95" t="s">
        <v>86</v>
      </c>
    </row>
    <row r="32" spans="1:28" x14ac:dyDescent="0.2">
      <c r="A32" s="502" t="s">
        <v>84</v>
      </c>
      <c r="B32" s="469">
        <f>_xlfn.XLOOKUP($A32,'Physical Condition Assessment'!$U:$U,'Physical Condition Assessment'!$E:$E,"!!!!!",0)</f>
        <v>0</v>
      </c>
      <c r="C32" s="469">
        <f>_xlfn.XLOOKUP($A32,'Physical Condition Assessment'!$U:$U,'Physical Condition Assessment'!$F:$F,"!!!!!",0)</f>
        <v>0</v>
      </c>
      <c r="D32" s="469">
        <f>_xlfn.XLOOKUP($A32,'Physical Condition Assessment'!$U:$U,'Physical Condition Assessment'!$H:$H,"!!!!!",0)</f>
        <v>0</v>
      </c>
      <c r="E32" s="469">
        <f>_xlfn.XLOOKUP($A32,'Physical Condition Assessment'!$U:$U,'Physical Condition Assessment'!$J:$J,"!!!!!",0)</f>
        <v>0</v>
      </c>
      <c r="F32" s="469">
        <f>_xlfn.XLOOKUP($A32,'Physical Condition Assessment'!$U:$U,'Physical Condition Assessment'!$L:$L,"!!!!!",0)</f>
        <v>0</v>
      </c>
      <c r="G32" s="469">
        <f>_xlfn.XLOOKUP($A32,'Physical Condition Assessment'!$U:$U,'Physical Condition Assessment'!$N:$N,"!!!!!",0)</f>
        <v>0</v>
      </c>
      <c r="H32" s="469">
        <f>_xlfn.XLOOKUP($A32,'Physical Condition Assessment'!$U:$U,'Physical Condition Assessment'!$P:$P,"!!!!!",0)</f>
        <v>0</v>
      </c>
      <c r="I32" s="525">
        <f>_xlfn.XLOOKUP($A32,'Physical Condition Assessment'!$U:$U,'Physical Condition Assessment'!$R:$R,"!!!!!",0)</f>
        <v>0</v>
      </c>
      <c r="J32" s="471">
        <f>_xlfn.XLOOKUP($A32,'Physical Condition Assessment'!$U:$U,'Physical Condition Assessment'!$S:$S,"!!!!!",0)</f>
        <v>0</v>
      </c>
      <c r="K32" s="469">
        <f>_xlfn.XLOOKUP($A32,'Physical Condition Assessment'!$U:$U,'Physical Condition Assessment'!$T:$T,"!!!!!",0)</f>
        <v>0</v>
      </c>
      <c r="L32" s="502" t="str">
        <f>_xlfn.XLOOKUP($A32,'Physical Condition Assessment'!$U:$U,'Physical Condition Assessment'!$V:$V,"missing",0)</f>
        <v>Interior Structure</v>
      </c>
      <c r="M32" s="469" t="str">
        <f>_xlfn.XLOOKUP($A32,'Physical Condition Assessment'!$U:$U,'Physical Condition Assessment'!$AE:$AE,"!!!!!",0)</f>
        <v>SF</v>
      </c>
      <c r="N32" s="471">
        <f>_xlfn.XLOOKUP($A32,'Physical Condition Assessment'!$U:$U,'Physical Condition Assessment'!$AP:$AP,"!!!!!",0)</f>
        <v>0</v>
      </c>
      <c r="O32" s="526">
        <f t="shared" si="0"/>
        <v>0</v>
      </c>
      <c r="P32" s="502" t="str">
        <f t="shared" si="1"/>
        <v>Green</v>
      </c>
      <c r="R32" s="502" t="str">
        <f t="shared" si="2"/>
        <v/>
      </c>
      <c r="S32" s="502" t="str">
        <f t="shared" si="3"/>
        <v/>
      </c>
      <c r="T32" s="95" t="s">
        <v>508</v>
      </c>
      <c r="U32" s="95" t="s">
        <v>515</v>
      </c>
      <c r="V32" s="95" t="s">
        <v>516</v>
      </c>
      <c r="W32" s="95" t="s">
        <v>511</v>
      </c>
      <c r="X32" s="95" t="s">
        <v>512</v>
      </c>
      <c r="Y32" s="95" t="s">
        <v>83</v>
      </c>
    </row>
    <row r="33" spans="1:26" x14ac:dyDescent="0.2">
      <c r="A33" s="502" t="s">
        <v>92</v>
      </c>
      <c r="B33" s="469">
        <f>_xlfn.XLOOKUP($A33,'Physical Condition Assessment'!$U:$U,'Physical Condition Assessment'!$E:$E,"!!!!!",0)</f>
        <v>0</v>
      </c>
      <c r="C33" s="469">
        <f>_xlfn.XLOOKUP($A33,'Physical Condition Assessment'!$U:$U,'Physical Condition Assessment'!$F:$F,"!!!!!",0)</f>
        <v>0</v>
      </c>
      <c r="D33" s="469">
        <f>_xlfn.XLOOKUP($A33,'Physical Condition Assessment'!$U:$U,'Physical Condition Assessment'!$H:$H,"!!!!!",0)</f>
        <v>0</v>
      </c>
      <c r="E33" s="469">
        <f>_xlfn.XLOOKUP($A33,'Physical Condition Assessment'!$U:$U,'Physical Condition Assessment'!$J:$J,"!!!!!",0)</f>
        <v>0</v>
      </c>
      <c r="F33" s="469">
        <f>_xlfn.XLOOKUP($A33,'Physical Condition Assessment'!$U:$U,'Physical Condition Assessment'!$L:$L,"!!!!!",0)</f>
        <v>0</v>
      </c>
      <c r="G33" s="469">
        <f>_xlfn.XLOOKUP($A33,'Physical Condition Assessment'!$U:$U,'Physical Condition Assessment'!$N:$N,"!!!!!",0)</f>
        <v>0</v>
      </c>
      <c r="H33" s="469">
        <f>_xlfn.XLOOKUP($A33,'Physical Condition Assessment'!$U:$U,'Physical Condition Assessment'!$P:$P,"!!!!!",0)</f>
        <v>0</v>
      </c>
      <c r="I33" s="525">
        <f>_xlfn.XLOOKUP($A33,'Physical Condition Assessment'!$U:$U,'Physical Condition Assessment'!$R:$R,"!!!!!",0)</f>
        <v>0</v>
      </c>
      <c r="J33" s="471">
        <f>_xlfn.XLOOKUP($A33,'Physical Condition Assessment'!$U:$U,'Physical Condition Assessment'!$S:$S,"!!!!!",0)</f>
        <v>0</v>
      </c>
      <c r="K33" s="469">
        <f>_xlfn.XLOOKUP($A33,'Physical Condition Assessment'!$U:$U,'Physical Condition Assessment'!$T:$T,"!!!!!",0)</f>
        <v>0</v>
      </c>
      <c r="L33" s="502" t="str">
        <f>_xlfn.XLOOKUP($A33,'Physical Condition Assessment'!$U:$U,'Physical Condition Assessment'!$V:$V,"missing",0)</f>
        <v>Roofing</v>
      </c>
      <c r="M33" s="469" t="str">
        <f>_xlfn.XLOOKUP($A33,'Physical Condition Assessment'!$U:$U,'Physical Condition Assessment'!$AE:$AE,"!!!!!",0)</f>
        <v>SF</v>
      </c>
      <c r="N33" s="471">
        <f>_xlfn.XLOOKUP($A33,'Physical Condition Assessment'!$U:$U,'Physical Condition Assessment'!$AP:$AP,"!!!!!",0)</f>
        <v>0</v>
      </c>
      <c r="O33" s="526">
        <f t="shared" si="0"/>
        <v>0</v>
      </c>
      <c r="P33" s="502" t="str">
        <f t="shared" si="1"/>
        <v>Green</v>
      </c>
      <c r="R33" s="502" t="str">
        <f t="shared" si="2"/>
        <v/>
      </c>
      <c r="S33" s="502" t="str">
        <f t="shared" si="3"/>
        <v/>
      </c>
      <c r="T33" s="95" t="s">
        <v>517</v>
      </c>
      <c r="U33" s="95" t="s">
        <v>518</v>
      </c>
      <c r="V33" s="95" t="s">
        <v>519</v>
      </c>
      <c r="W33" s="95" t="s">
        <v>520</v>
      </c>
      <c r="X33" s="95" t="s">
        <v>512</v>
      </c>
      <c r="Y33" s="95" t="s">
        <v>83</v>
      </c>
    </row>
    <row r="34" spans="1:26" x14ac:dyDescent="0.2">
      <c r="A34" s="502" t="s">
        <v>206</v>
      </c>
      <c r="B34" s="469">
        <f>_xlfn.XLOOKUP($A34,'Physical Condition Assessment'!$U:$U,'Physical Condition Assessment'!$E:$E,"!!!!!",0)</f>
        <v>0</v>
      </c>
      <c r="C34" s="469">
        <f>_xlfn.XLOOKUP($A34,'Physical Condition Assessment'!$U:$U,'Physical Condition Assessment'!$F:$F,"!!!!!",0)</f>
        <v>0</v>
      </c>
      <c r="D34" s="469">
        <f>_xlfn.XLOOKUP($A34,'Physical Condition Assessment'!$U:$U,'Physical Condition Assessment'!$H:$H,"!!!!!",0)</f>
        <v>0</v>
      </c>
      <c r="E34" s="469">
        <f>_xlfn.XLOOKUP($A34,'Physical Condition Assessment'!$U:$U,'Physical Condition Assessment'!$J:$J,"!!!!!",0)</f>
        <v>0</v>
      </c>
      <c r="F34" s="469">
        <f>_xlfn.XLOOKUP($A34,'Physical Condition Assessment'!$U:$U,'Physical Condition Assessment'!$L:$L,"!!!!!",0)</f>
        <v>0</v>
      </c>
      <c r="G34" s="469">
        <f>_xlfn.XLOOKUP($A34,'Physical Condition Assessment'!$U:$U,'Physical Condition Assessment'!$N:$N,"!!!!!",0)</f>
        <v>0</v>
      </c>
      <c r="H34" s="469">
        <f>_xlfn.XLOOKUP($A34,'Physical Condition Assessment'!$U:$U,'Physical Condition Assessment'!$P:$P,"!!!!!",0)</f>
        <v>0</v>
      </c>
      <c r="I34" s="525">
        <f>_xlfn.XLOOKUP($A34,'Physical Condition Assessment'!$U:$U,'Physical Condition Assessment'!$R:$R,"!!!!!",0)</f>
        <v>0</v>
      </c>
      <c r="J34" s="471">
        <f>_xlfn.XLOOKUP($A34,'Physical Condition Assessment'!$U:$U,'Physical Condition Assessment'!$S:$S,"!!!!!",0)</f>
        <v>0</v>
      </c>
      <c r="K34" s="469">
        <f>_xlfn.XLOOKUP($A34,'Physical Condition Assessment'!$U:$U,'Physical Condition Assessment'!$T:$T,"!!!!!",0)</f>
        <v>0</v>
      </c>
      <c r="L34" s="502" t="str">
        <f>_xlfn.XLOOKUP($A34,'Physical Condition Assessment'!$U:$U,'Physical Condition Assessment'!$V:$V,"missing",0)</f>
        <v>Flooring</v>
      </c>
      <c r="M34" s="469" t="str">
        <f>_xlfn.XLOOKUP($A34,'Physical Condition Assessment'!$U:$U,'Physical Condition Assessment'!$AE:$AE,"!!!!!",0)</f>
        <v>SF</v>
      </c>
      <c r="N34" s="471">
        <f>_xlfn.XLOOKUP($A34,'Physical Condition Assessment'!$U:$U,'Physical Condition Assessment'!$AP:$AP,"!!!!!",0)</f>
        <v>0</v>
      </c>
      <c r="O34" s="526">
        <f t="shared" si="0"/>
        <v>0</v>
      </c>
      <c r="P34" s="502" t="str">
        <f t="shared" si="1"/>
        <v>Green</v>
      </c>
      <c r="R34" s="502" t="str">
        <f t="shared" si="2"/>
        <v/>
      </c>
      <c r="S34" s="502" t="str">
        <f t="shared" si="3"/>
        <v/>
      </c>
      <c r="T34" s="95" t="s">
        <v>521</v>
      </c>
      <c r="U34" s="95" t="s">
        <v>522</v>
      </c>
      <c r="V34" s="95" t="s">
        <v>523</v>
      </c>
      <c r="W34" s="95" t="s">
        <v>511</v>
      </c>
      <c r="X34" s="95" t="s">
        <v>524</v>
      </c>
      <c r="Y34" s="95" t="s">
        <v>525</v>
      </c>
    </row>
    <row r="35" spans="1:26" x14ac:dyDescent="0.2">
      <c r="A35" s="502" t="s">
        <v>214</v>
      </c>
      <c r="B35" s="469">
        <f>_xlfn.XLOOKUP($A35,'Physical Condition Assessment'!$U:$U,'Physical Condition Assessment'!$E:$E,"!!!!!",0)</f>
        <v>0</v>
      </c>
      <c r="C35" s="469">
        <f>_xlfn.XLOOKUP($A35,'Physical Condition Assessment'!$U:$U,'Physical Condition Assessment'!$F:$F,"!!!!!",0)</f>
        <v>0</v>
      </c>
      <c r="D35" s="469">
        <f>_xlfn.XLOOKUP($A35,'Physical Condition Assessment'!$U:$U,'Physical Condition Assessment'!$H:$H,"!!!!!",0)</f>
        <v>0</v>
      </c>
      <c r="E35" s="469">
        <f>_xlfn.XLOOKUP($A35,'Physical Condition Assessment'!$U:$U,'Physical Condition Assessment'!$J:$J,"!!!!!",0)</f>
        <v>0</v>
      </c>
      <c r="F35" s="469">
        <f>_xlfn.XLOOKUP($A35,'Physical Condition Assessment'!$U:$U,'Physical Condition Assessment'!$L:$L,"!!!!!",0)</f>
        <v>0</v>
      </c>
      <c r="G35" s="469">
        <f>_xlfn.XLOOKUP($A35,'Physical Condition Assessment'!$U:$U,'Physical Condition Assessment'!$N:$N,"!!!!!",0)</f>
        <v>0</v>
      </c>
      <c r="H35" s="469">
        <f>_xlfn.XLOOKUP($A35,'Physical Condition Assessment'!$U:$U,'Physical Condition Assessment'!$P:$P,"!!!!!",0)</f>
        <v>0</v>
      </c>
      <c r="I35" s="525">
        <f>_xlfn.XLOOKUP($A35,'Physical Condition Assessment'!$U:$U,'Physical Condition Assessment'!$R:$R,"!!!!!",0)</f>
        <v>0</v>
      </c>
      <c r="J35" s="471">
        <f>_xlfn.XLOOKUP($A35,'Physical Condition Assessment'!$U:$U,'Physical Condition Assessment'!$S:$S,"!!!!!",0)</f>
        <v>0</v>
      </c>
      <c r="K35" s="469">
        <f>_xlfn.XLOOKUP($A35,'Physical Condition Assessment'!$U:$U,'Physical Condition Assessment'!$T:$T,"!!!!!",0)</f>
        <v>0</v>
      </c>
      <c r="L35" s="502" t="str">
        <f>_xlfn.XLOOKUP($A35,'Physical Condition Assessment'!$U:$U,'Physical Condition Assessment'!$V:$V,"missing",0)</f>
        <v>Flooring</v>
      </c>
      <c r="M35" s="469" t="str">
        <f>_xlfn.XLOOKUP($A35,'Physical Condition Assessment'!$U:$U,'Physical Condition Assessment'!$AE:$AE,"!!!!!",0)</f>
        <v>SF</v>
      </c>
      <c r="N35" s="471">
        <f>_xlfn.XLOOKUP($A35,'Physical Condition Assessment'!$U:$U,'Physical Condition Assessment'!$AP:$AP,"!!!!!",0)</f>
        <v>0</v>
      </c>
      <c r="O35" s="526">
        <f t="shared" si="0"/>
        <v>0</v>
      </c>
      <c r="P35" s="502" t="str">
        <f t="shared" si="1"/>
        <v>Green</v>
      </c>
      <c r="R35" s="502" t="str">
        <f t="shared" si="2"/>
        <v/>
      </c>
      <c r="S35" s="502" t="str">
        <f t="shared" si="3"/>
        <v/>
      </c>
      <c r="T35" s="95" t="s">
        <v>521</v>
      </c>
      <c r="U35" s="95" t="s">
        <v>526</v>
      </c>
      <c r="V35" s="95" t="s">
        <v>527</v>
      </c>
      <c r="W35" s="95" t="s">
        <v>511</v>
      </c>
      <c r="X35" s="95" t="s">
        <v>524</v>
      </c>
      <c r="Y35" s="95" t="s">
        <v>528</v>
      </c>
      <c r="Z35" s="95" t="s">
        <v>529</v>
      </c>
    </row>
    <row r="36" spans="1:26" x14ac:dyDescent="0.2">
      <c r="A36" s="502" t="s">
        <v>216</v>
      </c>
      <c r="B36" s="469">
        <f>_xlfn.XLOOKUP($A36,'Physical Condition Assessment'!$U:$U,'Physical Condition Assessment'!$E:$E,"!!!!!",0)</f>
        <v>0</v>
      </c>
      <c r="C36" s="469">
        <f>_xlfn.XLOOKUP($A36,'Physical Condition Assessment'!$U:$U,'Physical Condition Assessment'!$F:$F,"!!!!!",0)</f>
        <v>0</v>
      </c>
      <c r="D36" s="469">
        <f>_xlfn.XLOOKUP($A36,'Physical Condition Assessment'!$U:$U,'Physical Condition Assessment'!$H:$H,"!!!!!",0)</f>
        <v>0</v>
      </c>
      <c r="E36" s="469">
        <f>_xlfn.XLOOKUP($A36,'Physical Condition Assessment'!$U:$U,'Physical Condition Assessment'!$J:$J,"!!!!!",0)</f>
        <v>0</v>
      </c>
      <c r="F36" s="469">
        <f>_xlfn.XLOOKUP($A36,'Physical Condition Assessment'!$U:$U,'Physical Condition Assessment'!$L:$L,"!!!!!",0)</f>
        <v>0</v>
      </c>
      <c r="G36" s="469">
        <f>_xlfn.XLOOKUP($A36,'Physical Condition Assessment'!$U:$U,'Physical Condition Assessment'!$N:$N,"!!!!!",0)</f>
        <v>0</v>
      </c>
      <c r="H36" s="469">
        <f>_xlfn.XLOOKUP($A36,'Physical Condition Assessment'!$U:$U,'Physical Condition Assessment'!$P:$P,"!!!!!",0)</f>
        <v>0</v>
      </c>
      <c r="I36" s="525">
        <f>_xlfn.XLOOKUP($A36,'Physical Condition Assessment'!$U:$U,'Physical Condition Assessment'!$R:$R,"!!!!!",0)</f>
        <v>0</v>
      </c>
      <c r="J36" s="471">
        <f>_xlfn.XLOOKUP($A36,'Physical Condition Assessment'!$U:$U,'Physical Condition Assessment'!$S:$S,"!!!!!",0)</f>
        <v>0</v>
      </c>
      <c r="K36" s="469">
        <f>_xlfn.XLOOKUP($A36,'Physical Condition Assessment'!$U:$U,'Physical Condition Assessment'!$T:$T,"!!!!!",0)</f>
        <v>0</v>
      </c>
      <c r="L36" s="502" t="str">
        <f>_xlfn.XLOOKUP($A36,'Physical Condition Assessment'!$U:$U,'Physical Condition Assessment'!$V:$V,"missing",0)</f>
        <v>Flooring</v>
      </c>
      <c r="M36" s="469" t="str">
        <f>_xlfn.XLOOKUP($A36,'Physical Condition Assessment'!$U:$U,'Physical Condition Assessment'!$AE:$AE,"!!!!!",0)</f>
        <v>SF</v>
      </c>
      <c r="N36" s="471">
        <f>_xlfn.XLOOKUP($A36,'Physical Condition Assessment'!$U:$U,'Physical Condition Assessment'!$AP:$AP,"!!!!!",0)</f>
        <v>0</v>
      </c>
      <c r="O36" s="526">
        <f t="shared" si="0"/>
        <v>0</v>
      </c>
      <c r="P36" s="502" t="str">
        <f t="shared" si="1"/>
        <v>Green</v>
      </c>
      <c r="R36" s="502" t="str">
        <f t="shared" si="2"/>
        <v/>
      </c>
      <c r="S36" s="502" t="str">
        <f t="shared" si="3"/>
        <v/>
      </c>
      <c r="T36" s="95" t="s">
        <v>521</v>
      </c>
      <c r="U36" s="95" t="s">
        <v>530</v>
      </c>
      <c r="V36" s="95" t="s">
        <v>531</v>
      </c>
      <c r="W36" s="95" t="s">
        <v>511</v>
      </c>
      <c r="X36" s="95" t="s">
        <v>524</v>
      </c>
      <c r="Y36" s="95" t="s">
        <v>532</v>
      </c>
      <c r="Z36" s="95" t="s">
        <v>533</v>
      </c>
    </row>
    <row r="37" spans="1:26" x14ac:dyDescent="0.2">
      <c r="A37" s="502" t="s">
        <v>213</v>
      </c>
      <c r="B37" s="469">
        <f>_xlfn.XLOOKUP($A37,'Physical Condition Assessment'!$U:$U,'Physical Condition Assessment'!$E:$E,"!!!!!",0)</f>
        <v>0</v>
      </c>
      <c r="C37" s="469">
        <f>_xlfn.XLOOKUP($A37,'Physical Condition Assessment'!$U:$U,'Physical Condition Assessment'!$F:$F,"!!!!!",0)</f>
        <v>0</v>
      </c>
      <c r="D37" s="469">
        <f>_xlfn.XLOOKUP($A37,'Physical Condition Assessment'!$U:$U,'Physical Condition Assessment'!$H:$H,"!!!!!",0)</f>
        <v>0</v>
      </c>
      <c r="E37" s="469">
        <f>_xlfn.XLOOKUP($A37,'Physical Condition Assessment'!$U:$U,'Physical Condition Assessment'!$J:$J,"!!!!!",0)</f>
        <v>0</v>
      </c>
      <c r="F37" s="469">
        <f>_xlfn.XLOOKUP($A37,'Physical Condition Assessment'!$U:$U,'Physical Condition Assessment'!$L:$L,"!!!!!",0)</f>
        <v>0</v>
      </c>
      <c r="G37" s="469">
        <f>_xlfn.XLOOKUP($A37,'Physical Condition Assessment'!$U:$U,'Physical Condition Assessment'!$N:$N,"!!!!!",0)</f>
        <v>0</v>
      </c>
      <c r="H37" s="469">
        <f>_xlfn.XLOOKUP($A37,'Physical Condition Assessment'!$U:$U,'Physical Condition Assessment'!$P:$P,"!!!!!",0)</f>
        <v>0</v>
      </c>
      <c r="I37" s="525">
        <f>_xlfn.XLOOKUP($A37,'Physical Condition Assessment'!$U:$U,'Physical Condition Assessment'!$R:$R,"!!!!!",0)</f>
        <v>0</v>
      </c>
      <c r="J37" s="471">
        <f>_xlfn.XLOOKUP($A37,'Physical Condition Assessment'!$U:$U,'Physical Condition Assessment'!$S:$S,"!!!!!",0)</f>
        <v>0</v>
      </c>
      <c r="K37" s="469">
        <f>_xlfn.XLOOKUP($A37,'Physical Condition Assessment'!$U:$U,'Physical Condition Assessment'!$T:$T,"!!!!!",0)</f>
        <v>0</v>
      </c>
      <c r="L37" s="502" t="str">
        <f>_xlfn.XLOOKUP($A37,'Physical Condition Assessment'!$U:$U,'Physical Condition Assessment'!$V:$V,"missing",0)</f>
        <v>Flooring</v>
      </c>
      <c r="M37" s="469" t="str">
        <f>_xlfn.XLOOKUP($A37,'Physical Condition Assessment'!$U:$U,'Physical Condition Assessment'!$AE:$AE,"!!!!!",0)</f>
        <v>SF</v>
      </c>
      <c r="N37" s="471">
        <f>_xlfn.XLOOKUP($A37,'Physical Condition Assessment'!$U:$U,'Physical Condition Assessment'!$AP:$AP,"!!!!!",0)</f>
        <v>0</v>
      </c>
      <c r="O37" s="526">
        <f t="shared" si="0"/>
        <v>0</v>
      </c>
      <c r="P37" s="502" t="str">
        <f t="shared" si="1"/>
        <v>Green</v>
      </c>
      <c r="R37" s="502" t="str">
        <f t="shared" si="2"/>
        <v/>
      </c>
      <c r="S37" s="502" t="str">
        <f t="shared" si="3"/>
        <v/>
      </c>
      <c r="T37" s="95" t="s">
        <v>521</v>
      </c>
      <c r="U37" s="95" t="s">
        <v>534</v>
      </c>
      <c r="V37" s="95" t="s">
        <v>535</v>
      </c>
      <c r="W37" s="95" t="s">
        <v>511</v>
      </c>
      <c r="X37" s="95" t="s">
        <v>524</v>
      </c>
      <c r="Y37" s="95" t="s">
        <v>536</v>
      </c>
      <c r="Z37" s="95" t="s">
        <v>88</v>
      </c>
    </row>
    <row r="38" spans="1:26" x14ac:dyDescent="0.2">
      <c r="A38" s="502" t="s">
        <v>211</v>
      </c>
      <c r="B38" s="469">
        <f>_xlfn.XLOOKUP($A38,'Physical Condition Assessment'!$U:$U,'Physical Condition Assessment'!$E:$E,"!!!!!",0)</f>
        <v>0</v>
      </c>
      <c r="C38" s="469">
        <f>_xlfn.XLOOKUP($A38,'Physical Condition Assessment'!$U:$U,'Physical Condition Assessment'!$F:$F,"!!!!!",0)</f>
        <v>0</v>
      </c>
      <c r="D38" s="469">
        <f>_xlfn.XLOOKUP($A38,'Physical Condition Assessment'!$U:$U,'Physical Condition Assessment'!$H:$H,"!!!!!",0)</f>
        <v>0</v>
      </c>
      <c r="E38" s="469">
        <f>_xlfn.XLOOKUP($A38,'Physical Condition Assessment'!$U:$U,'Physical Condition Assessment'!$J:$J,"!!!!!",0)</f>
        <v>0</v>
      </c>
      <c r="F38" s="469">
        <f>_xlfn.XLOOKUP($A38,'Physical Condition Assessment'!$U:$U,'Physical Condition Assessment'!$L:$L,"!!!!!",0)</f>
        <v>0</v>
      </c>
      <c r="G38" s="469">
        <f>_xlfn.XLOOKUP($A38,'Physical Condition Assessment'!$U:$U,'Physical Condition Assessment'!$N:$N,"!!!!!",0)</f>
        <v>0</v>
      </c>
      <c r="H38" s="469">
        <f>_xlfn.XLOOKUP($A38,'Physical Condition Assessment'!$U:$U,'Physical Condition Assessment'!$P:$P,"!!!!!",0)</f>
        <v>0</v>
      </c>
      <c r="I38" s="525">
        <f>_xlfn.XLOOKUP($A38,'Physical Condition Assessment'!$U:$U,'Physical Condition Assessment'!$R:$R,"!!!!!",0)</f>
        <v>0</v>
      </c>
      <c r="J38" s="471">
        <f>_xlfn.XLOOKUP($A38,'Physical Condition Assessment'!$U:$U,'Physical Condition Assessment'!$S:$S,"!!!!!",0)</f>
        <v>0</v>
      </c>
      <c r="K38" s="469">
        <f>_xlfn.XLOOKUP($A38,'Physical Condition Assessment'!$U:$U,'Physical Condition Assessment'!$T:$T,"!!!!!",0)</f>
        <v>0</v>
      </c>
      <c r="L38" s="502" t="str">
        <f>_xlfn.XLOOKUP($A38,'Physical Condition Assessment'!$U:$U,'Physical Condition Assessment'!$V:$V,"missing",0)</f>
        <v>Flooring</v>
      </c>
      <c r="M38" s="469" t="str">
        <f>_xlfn.XLOOKUP($A38,'Physical Condition Assessment'!$U:$U,'Physical Condition Assessment'!$AE:$AE,"!!!!!",0)</f>
        <v>SF</v>
      </c>
      <c r="N38" s="471">
        <f>_xlfn.XLOOKUP($A38,'Physical Condition Assessment'!$U:$U,'Physical Condition Assessment'!$AP:$AP,"!!!!!",0)</f>
        <v>0</v>
      </c>
      <c r="O38" s="526">
        <f t="shared" si="0"/>
        <v>0</v>
      </c>
      <c r="P38" s="502" t="str">
        <f t="shared" si="1"/>
        <v>Green</v>
      </c>
      <c r="R38" s="502" t="str">
        <f t="shared" si="2"/>
        <v/>
      </c>
      <c r="S38" s="502" t="str">
        <f t="shared" si="3"/>
        <v/>
      </c>
      <c r="T38" s="95" t="s">
        <v>521</v>
      </c>
      <c r="U38" s="95" t="s">
        <v>537</v>
      </c>
      <c r="V38" s="95" t="s">
        <v>538</v>
      </c>
      <c r="W38" s="95" t="s">
        <v>511</v>
      </c>
      <c r="X38" s="95" t="s">
        <v>524</v>
      </c>
      <c r="Y38" s="95" t="s">
        <v>183</v>
      </c>
      <c r="Z38" s="95" t="s">
        <v>539</v>
      </c>
    </row>
    <row r="39" spans="1:26" x14ac:dyDescent="0.2">
      <c r="A39" s="502" t="s">
        <v>209</v>
      </c>
      <c r="B39" s="469">
        <f>_xlfn.XLOOKUP($A39,'Physical Condition Assessment'!$U:$U,'Physical Condition Assessment'!$E:$E,"!!!!!",0)</f>
        <v>0</v>
      </c>
      <c r="C39" s="469">
        <f>_xlfn.XLOOKUP($A39,'Physical Condition Assessment'!$U:$U,'Physical Condition Assessment'!$F:$F,"!!!!!",0)</f>
        <v>0</v>
      </c>
      <c r="D39" s="469">
        <f>_xlfn.XLOOKUP($A39,'Physical Condition Assessment'!$U:$U,'Physical Condition Assessment'!$H:$H,"!!!!!",0)</f>
        <v>0</v>
      </c>
      <c r="E39" s="469">
        <f>_xlfn.XLOOKUP($A39,'Physical Condition Assessment'!$U:$U,'Physical Condition Assessment'!$J:$J,"!!!!!",0)</f>
        <v>0</v>
      </c>
      <c r="F39" s="469">
        <f>_xlfn.XLOOKUP($A39,'Physical Condition Assessment'!$U:$U,'Physical Condition Assessment'!$L:$L,"!!!!!",0)</f>
        <v>0</v>
      </c>
      <c r="G39" s="469">
        <f>_xlfn.XLOOKUP($A39,'Physical Condition Assessment'!$U:$U,'Physical Condition Assessment'!$N:$N,"!!!!!",0)</f>
        <v>0</v>
      </c>
      <c r="H39" s="469">
        <f>_xlfn.XLOOKUP($A39,'Physical Condition Assessment'!$U:$U,'Physical Condition Assessment'!$P:$P,"!!!!!",0)</f>
        <v>0</v>
      </c>
      <c r="I39" s="525">
        <f>_xlfn.XLOOKUP($A39,'Physical Condition Assessment'!$U:$U,'Physical Condition Assessment'!$R:$R,"!!!!!",0)</f>
        <v>0</v>
      </c>
      <c r="J39" s="471">
        <f>_xlfn.XLOOKUP($A39,'Physical Condition Assessment'!$U:$U,'Physical Condition Assessment'!$S:$S,"!!!!!",0)</f>
        <v>0</v>
      </c>
      <c r="K39" s="469">
        <f>_xlfn.XLOOKUP($A39,'Physical Condition Assessment'!$U:$U,'Physical Condition Assessment'!$T:$T,"!!!!!",0)</f>
        <v>0</v>
      </c>
      <c r="L39" s="502" t="str">
        <f>_xlfn.XLOOKUP($A39,'Physical Condition Assessment'!$U:$U,'Physical Condition Assessment'!$V:$V,"missing",0)</f>
        <v>Flooring</v>
      </c>
      <c r="M39" s="469" t="str">
        <f>_xlfn.XLOOKUP($A39,'Physical Condition Assessment'!$U:$U,'Physical Condition Assessment'!$AE:$AE,"!!!!!",0)</f>
        <v>SF</v>
      </c>
      <c r="N39" s="471">
        <f>_xlfn.XLOOKUP($A39,'Physical Condition Assessment'!$U:$U,'Physical Condition Assessment'!$AP:$AP,"!!!!!",0)</f>
        <v>0</v>
      </c>
      <c r="O39" s="526">
        <f t="shared" si="0"/>
        <v>0</v>
      </c>
      <c r="P39" s="502" t="str">
        <f t="shared" si="1"/>
        <v>Green</v>
      </c>
      <c r="R39" s="502" t="str">
        <f t="shared" si="2"/>
        <v/>
      </c>
      <c r="S39" s="502" t="str">
        <f t="shared" si="3"/>
        <v/>
      </c>
      <c r="T39" s="95" t="s">
        <v>521</v>
      </c>
      <c r="U39" s="95" t="s">
        <v>540</v>
      </c>
      <c r="V39" s="95" t="s">
        <v>541</v>
      </c>
      <c r="W39" s="95" t="s">
        <v>511</v>
      </c>
      <c r="X39" s="95" t="s">
        <v>524</v>
      </c>
      <c r="Y39" s="95" t="s">
        <v>183</v>
      </c>
      <c r="Z39" s="95" t="s">
        <v>529</v>
      </c>
    </row>
    <row r="40" spans="1:26" x14ac:dyDescent="0.2">
      <c r="A40" s="502" t="s">
        <v>218</v>
      </c>
      <c r="B40" s="469">
        <f>_xlfn.XLOOKUP($A40,'Physical Condition Assessment'!$U:$U,'Physical Condition Assessment'!$E:$E,"!!!!!",0)</f>
        <v>0</v>
      </c>
      <c r="C40" s="469">
        <f>_xlfn.XLOOKUP($A40,'Physical Condition Assessment'!$U:$U,'Physical Condition Assessment'!$F:$F,"!!!!!",0)</f>
        <v>0</v>
      </c>
      <c r="D40" s="469">
        <f>_xlfn.XLOOKUP($A40,'Physical Condition Assessment'!$U:$U,'Physical Condition Assessment'!$H:$H,"!!!!!",0)</f>
        <v>0</v>
      </c>
      <c r="E40" s="469">
        <f>_xlfn.XLOOKUP($A40,'Physical Condition Assessment'!$U:$U,'Physical Condition Assessment'!$J:$J,"!!!!!",0)</f>
        <v>0</v>
      </c>
      <c r="F40" s="469">
        <f>_xlfn.XLOOKUP($A40,'Physical Condition Assessment'!$U:$U,'Physical Condition Assessment'!$L:$L,"!!!!!",0)</f>
        <v>0</v>
      </c>
      <c r="G40" s="469">
        <f>_xlfn.XLOOKUP($A40,'Physical Condition Assessment'!$U:$U,'Physical Condition Assessment'!$N:$N,"!!!!!",0)</f>
        <v>0</v>
      </c>
      <c r="H40" s="469">
        <f>_xlfn.XLOOKUP($A40,'Physical Condition Assessment'!$U:$U,'Physical Condition Assessment'!$P:$P,"!!!!!",0)</f>
        <v>0</v>
      </c>
      <c r="I40" s="525">
        <f>_xlfn.XLOOKUP($A40,'Physical Condition Assessment'!$U:$U,'Physical Condition Assessment'!$R:$R,"!!!!!",0)</f>
        <v>0</v>
      </c>
      <c r="J40" s="471">
        <f>_xlfn.XLOOKUP($A40,'Physical Condition Assessment'!$U:$U,'Physical Condition Assessment'!$S:$S,"!!!!!",0)</f>
        <v>0</v>
      </c>
      <c r="K40" s="469">
        <f>_xlfn.XLOOKUP($A40,'Physical Condition Assessment'!$U:$U,'Physical Condition Assessment'!$T:$T,"!!!!!",0)</f>
        <v>0</v>
      </c>
      <c r="L40" s="502" t="str">
        <f>_xlfn.XLOOKUP($A40,'Physical Condition Assessment'!$U:$U,'Physical Condition Assessment'!$V:$V,"missing",0)</f>
        <v>Flooring</v>
      </c>
      <c r="M40" s="469" t="str">
        <f>_xlfn.XLOOKUP($A40,'Physical Condition Assessment'!$U:$U,'Physical Condition Assessment'!$AE:$AE,"!!!!!",0)</f>
        <v>SF</v>
      </c>
      <c r="N40" s="471">
        <f>_xlfn.XLOOKUP($A40,'Physical Condition Assessment'!$U:$U,'Physical Condition Assessment'!$AP:$AP,"!!!!!",0)</f>
        <v>0</v>
      </c>
      <c r="O40" s="526">
        <f t="shared" si="0"/>
        <v>0</v>
      </c>
      <c r="P40" s="502" t="str">
        <f t="shared" si="1"/>
        <v>Green</v>
      </c>
      <c r="R40" s="502" t="str">
        <f t="shared" si="2"/>
        <v/>
      </c>
      <c r="S40" s="502" t="str">
        <f t="shared" si="3"/>
        <v/>
      </c>
      <c r="T40" s="95" t="s">
        <v>521</v>
      </c>
      <c r="U40" s="95" t="s">
        <v>542</v>
      </c>
      <c r="V40" s="95" t="s">
        <v>543</v>
      </c>
      <c r="W40" s="95" t="s">
        <v>511</v>
      </c>
      <c r="X40" s="95" t="s">
        <v>524</v>
      </c>
      <c r="Y40" s="95" t="s">
        <v>83</v>
      </c>
      <c r="Z40" s="95" t="s">
        <v>544</v>
      </c>
    </row>
    <row r="41" spans="1:26" x14ac:dyDescent="0.2">
      <c r="A41" s="502" t="s">
        <v>69</v>
      </c>
      <c r="B41" s="469">
        <f>_xlfn.XLOOKUP($A41,'Physical Condition Assessment'!$U:$U,'Physical Condition Assessment'!$E:$E,"!!!!!",0)</f>
        <v>0</v>
      </c>
      <c r="C41" s="469">
        <f>_xlfn.XLOOKUP($A41,'Physical Condition Assessment'!$U:$U,'Physical Condition Assessment'!$F:$F,"!!!!!",0)</f>
        <v>0</v>
      </c>
      <c r="D41" s="469">
        <f>_xlfn.XLOOKUP($A41,'Physical Condition Assessment'!$U:$U,'Physical Condition Assessment'!$H:$H,"!!!!!",0)</f>
        <v>0</v>
      </c>
      <c r="E41" s="469">
        <f>_xlfn.XLOOKUP($A41,'Physical Condition Assessment'!$U:$U,'Physical Condition Assessment'!$J:$J,"!!!!!",0)</f>
        <v>0</v>
      </c>
      <c r="F41" s="469">
        <f>_xlfn.XLOOKUP($A41,'Physical Condition Assessment'!$U:$U,'Physical Condition Assessment'!$L:$L,"!!!!!",0)</f>
        <v>0</v>
      </c>
      <c r="G41" s="469">
        <f>_xlfn.XLOOKUP($A41,'Physical Condition Assessment'!$U:$U,'Physical Condition Assessment'!$N:$N,"!!!!!",0)</f>
        <v>0</v>
      </c>
      <c r="H41" s="469">
        <f>_xlfn.XLOOKUP($A41,'Physical Condition Assessment'!$U:$U,'Physical Condition Assessment'!$P:$P,"!!!!!",0)</f>
        <v>0</v>
      </c>
      <c r="I41" s="525">
        <f>_xlfn.XLOOKUP($A41,'Physical Condition Assessment'!$U:$U,'Physical Condition Assessment'!$R:$R,"!!!!!",0)</f>
        <v>0</v>
      </c>
      <c r="J41" s="471">
        <f>_xlfn.XLOOKUP($A41,'Physical Condition Assessment'!$U:$U,'Physical Condition Assessment'!$S:$S,"!!!!!",0)</f>
        <v>0</v>
      </c>
      <c r="K41" s="469">
        <f>_xlfn.XLOOKUP($A41,'Physical Condition Assessment'!$U:$U,'Physical Condition Assessment'!$T:$T,"!!!!!",0)</f>
        <v>0</v>
      </c>
      <c r="L41" s="502" t="str">
        <f>_xlfn.XLOOKUP($A41,'Physical Condition Assessment'!$U:$U,'Physical Condition Assessment'!$V:$V,"missing",0)</f>
        <v>Foundation</v>
      </c>
      <c r="M41" s="469" t="str">
        <f>_xlfn.XLOOKUP($A41,'Physical Condition Assessment'!$U:$U,'Physical Condition Assessment'!$AE:$AE,"!!!!!",0)</f>
        <v>SF</v>
      </c>
      <c r="N41" s="471">
        <f>_xlfn.XLOOKUP($A41,'Physical Condition Assessment'!$U:$U,'Physical Condition Assessment'!$AP:$AP,"!!!!!",0)</f>
        <v>0</v>
      </c>
      <c r="O41" s="526">
        <f t="shared" si="0"/>
        <v>0</v>
      </c>
      <c r="P41" s="502" t="str">
        <f t="shared" si="1"/>
        <v>Green</v>
      </c>
      <c r="R41" s="502" t="str">
        <f t="shared" si="2"/>
        <v/>
      </c>
      <c r="S41" s="502" t="str">
        <f t="shared" si="3"/>
        <v/>
      </c>
      <c r="T41" s="95" t="s">
        <v>545</v>
      </c>
      <c r="U41" s="95" t="s">
        <v>546</v>
      </c>
      <c r="V41" s="95" t="s">
        <v>547</v>
      </c>
      <c r="W41" s="95" t="s">
        <v>548</v>
      </c>
      <c r="X41" s="95" t="s">
        <v>549</v>
      </c>
    </row>
    <row r="42" spans="1:26" x14ac:dyDescent="0.2">
      <c r="A42" s="502" t="s">
        <v>74</v>
      </c>
      <c r="B42" s="469">
        <f>_xlfn.XLOOKUP($A42,'Physical Condition Assessment'!$U:$U,'Physical Condition Assessment'!$E:$E,"!!!!!",0)</f>
        <v>0</v>
      </c>
      <c r="C42" s="469">
        <f>_xlfn.XLOOKUP($A42,'Physical Condition Assessment'!$U:$U,'Physical Condition Assessment'!$F:$F,"!!!!!",0)</f>
        <v>0</v>
      </c>
      <c r="D42" s="469">
        <f>_xlfn.XLOOKUP($A42,'Physical Condition Assessment'!$U:$U,'Physical Condition Assessment'!$H:$H,"!!!!!",0)</f>
        <v>0</v>
      </c>
      <c r="E42" s="469">
        <f>_xlfn.XLOOKUP($A42,'Physical Condition Assessment'!$U:$U,'Physical Condition Assessment'!$J:$J,"!!!!!",0)</f>
        <v>0</v>
      </c>
      <c r="F42" s="469">
        <f>_xlfn.XLOOKUP($A42,'Physical Condition Assessment'!$U:$U,'Physical Condition Assessment'!$L:$L,"!!!!!",0)</f>
        <v>0</v>
      </c>
      <c r="G42" s="469">
        <f>_xlfn.XLOOKUP($A42,'Physical Condition Assessment'!$U:$U,'Physical Condition Assessment'!$N:$N,"!!!!!",0)</f>
        <v>0</v>
      </c>
      <c r="H42" s="469">
        <f>_xlfn.XLOOKUP($A42,'Physical Condition Assessment'!$U:$U,'Physical Condition Assessment'!$P:$P,"!!!!!",0)</f>
        <v>0</v>
      </c>
      <c r="I42" s="525">
        <f>_xlfn.XLOOKUP($A42,'Physical Condition Assessment'!$U:$U,'Physical Condition Assessment'!$R:$R,"!!!!!",0)</f>
        <v>0</v>
      </c>
      <c r="J42" s="471">
        <f>_xlfn.XLOOKUP($A42,'Physical Condition Assessment'!$U:$U,'Physical Condition Assessment'!$S:$S,"!!!!!",0)</f>
        <v>0</v>
      </c>
      <c r="K42" s="469">
        <f>_xlfn.XLOOKUP($A42,'Physical Condition Assessment'!$U:$U,'Physical Condition Assessment'!$T:$T,"!!!!!",0)</f>
        <v>0</v>
      </c>
      <c r="L42" s="502" t="str">
        <f>_xlfn.XLOOKUP($A42,'Physical Condition Assessment'!$U:$U,'Physical Condition Assessment'!$V:$V,"missing",0)</f>
        <v>Foundation</v>
      </c>
      <c r="M42" s="469" t="str">
        <f>_xlfn.XLOOKUP($A42,'Physical Condition Assessment'!$U:$U,'Physical Condition Assessment'!$AE:$AE,"!!!!!",0)</f>
        <v>SF</v>
      </c>
      <c r="N42" s="471">
        <f>_xlfn.XLOOKUP($A42,'Physical Condition Assessment'!$U:$U,'Physical Condition Assessment'!$AP:$AP,"!!!!!",0)</f>
        <v>0</v>
      </c>
      <c r="O42" s="526">
        <f t="shared" si="0"/>
        <v>0</v>
      </c>
      <c r="P42" s="502" t="str">
        <f t="shared" si="1"/>
        <v>Green</v>
      </c>
      <c r="R42" s="502" t="str">
        <f t="shared" si="2"/>
        <v/>
      </c>
      <c r="S42" s="502" t="str">
        <f t="shared" si="3"/>
        <v/>
      </c>
      <c r="T42" s="95" t="s">
        <v>550</v>
      </c>
      <c r="U42" s="95" t="s">
        <v>551</v>
      </c>
      <c r="V42" s="95" t="s">
        <v>552</v>
      </c>
      <c r="W42" s="95" t="s">
        <v>553</v>
      </c>
      <c r="X42" s="95" t="s">
        <v>549</v>
      </c>
    </row>
    <row r="43" spans="1:26" x14ac:dyDescent="0.2">
      <c r="A43" s="502" t="s">
        <v>76</v>
      </c>
      <c r="B43" s="469">
        <f>_xlfn.XLOOKUP($A43,'Physical Condition Assessment'!$U:$U,'Physical Condition Assessment'!$E:$E,"!!!!!",0)</f>
        <v>0</v>
      </c>
      <c r="C43" s="469">
        <f>_xlfn.XLOOKUP($A43,'Physical Condition Assessment'!$U:$U,'Physical Condition Assessment'!$F:$F,"!!!!!",0)</f>
        <v>0</v>
      </c>
      <c r="D43" s="469">
        <f>_xlfn.XLOOKUP($A43,'Physical Condition Assessment'!$U:$U,'Physical Condition Assessment'!$H:$H,"!!!!!",0)</f>
        <v>0</v>
      </c>
      <c r="E43" s="469">
        <f>_xlfn.XLOOKUP($A43,'Physical Condition Assessment'!$U:$U,'Physical Condition Assessment'!$J:$J,"!!!!!",0)</f>
        <v>0</v>
      </c>
      <c r="F43" s="469">
        <f>_xlfn.XLOOKUP($A43,'Physical Condition Assessment'!$U:$U,'Physical Condition Assessment'!$L:$L,"!!!!!",0)</f>
        <v>0</v>
      </c>
      <c r="G43" s="469">
        <f>_xlfn.XLOOKUP($A43,'Physical Condition Assessment'!$U:$U,'Physical Condition Assessment'!$N:$N,"!!!!!",0)</f>
        <v>0</v>
      </c>
      <c r="H43" s="469">
        <f>_xlfn.XLOOKUP($A43,'Physical Condition Assessment'!$U:$U,'Physical Condition Assessment'!$P:$P,"!!!!!",0)</f>
        <v>0</v>
      </c>
      <c r="I43" s="525">
        <f>_xlfn.XLOOKUP($A43,'Physical Condition Assessment'!$U:$U,'Physical Condition Assessment'!$R:$R,"!!!!!",0)</f>
        <v>0</v>
      </c>
      <c r="J43" s="471">
        <f>_xlfn.XLOOKUP($A43,'Physical Condition Assessment'!$U:$U,'Physical Condition Assessment'!$S:$S,"!!!!!",0)</f>
        <v>0</v>
      </c>
      <c r="K43" s="469">
        <f>_xlfn.XLOOKUP($A43,'Physical Condition Assessment'!$U:$U,'Physical Condition Assessment'!$T:$T,"!!!!!",0)</f>
        <v>0</v>
      </c>
      <c r="L43" s="502" t="str">
        <f>_xlfn.XLOOKUP($A43,'Physical Condition Assessment'!$U:$U,'Physical Condition Assessment'!$V:$V,"missing",0)</f>
        <v>Foundation</v>
      </c>
      <c r="M43" s="469" t="str">
        <f>_xlfn.XLOOKUP($A43,'Physical Condition Assessment'!$U:$U,'Physical Condition Assessment'!$AE:$AE,"!!!!!",0)</f>
        <v>SF</v>
      </c>
      <c r="N43" s="471">
        <f>_xlfn.XLOOKUP($A43,'Physical Condition Assessment'!$U:$U,'Physical Condition Assessment'!$AP:$AP,"!!!!!",0)</f>
        <v>0</v>
      </c>
      <c r="O43" s="526">
        <f t="shared" si="0"/>
        <v>0</v>
      </c>
      <c r="P43" s="502" t="str">
        <f t="shared" si="1"/>
        <v>Green</v>
      </c>
      <c r="R43" s="502" t="str">
        <f t="shared" si="2"/>
        <v/>
      </c>
      <c r="S43" s="502" t="str">
        <f t="shared" si="3"/>
        <v/>
      </c>
      <c r="T43" s="95" t="s">
        <v>554</v>
      </c>
      <c r="U43" s="95" t="s">
        <v>555</v>
      </c>
      <c r="V43" s="95" t="s">
        <v>556</v>
      </c>
      <c r="W43" s="95" t="s">
        <v>557</v>
      </c>
      <c r="X43" s="95" t="s">
        <v>558</v>
      </c>
      <c r="Z43" s="95" t="s">
        <v>559</v>
      </c>
    </row>
    <row r="44" spans="1:26" x14ac:dyDescent="0.2">
      <c r="A44" s="502" t="s">
        <v>80</v>
      </c>
      <c r="B44" s="469">
        <f>_xlfn.XLOOKUP($A44,'Physical Condition Assessment'!$U:$U,'Physical Condition Assessment'!$E:$E,"!!!!!",0)</f>
        <v>0</v>
      </c>
      <c r="C44" s="469">
        <f>_xlfn.XLOOKUP($A44,'Physical Condition Assessment'!$U:$U,'Physical Condition Assessment'!$F:$F,"!!!!!",0)</f>
        <v>0</v>
      </c>
      <c r="D44" s="469">
        <f>_xlfn.XLOOKUP($A44,'Physical Condition Assessment'!$U:$U,'Physical Condition Assessment'!$H:$H,"!!!!!",0)</f>
        <v>0</v>
      </c>
      <c r="E44" s="469">
        <f>_xlfn.XLOOKUP($A44,'Physical Condition Assessment'!$U:$U,'Physical Condition Assessment'!$J:$J,"!!!!!",0)</f>
        <v>0</v>
      </c>
      <c r="F44" s="469">
        <f>_xlfn.XLOOKUP($A44,'Physical Condition Assessment'!$U:$U,'Physical Condition Assessment'!$L:$L,"!!!!!",0)</f>
        <v>0</v>
      </c>
      <c r="G44" s="469">
        <f>_xlfn.XLOOKUP($A44,'Physical Condition Assessment'!$U:$U,'Physical Condition Assessment'!$N:$N,"!!!!!",0)</f>
        <v>0</v>
      </c>
      <c r="H44" s="469">
        <f>_xlfn.XLOOKUP($A44,'Physical Condition Assessment'!$U:$U,'Physical Condition Assessment'!$P:$P,"!!!!!",0)</f>
        <v>0</v>
      </c>
      <c r="I44" s="525">
        <f>_xlfn.XLOOKUP($A44,'Physical Condition Assessment'!$U:$U,'Physical Condition Assessment'!$R:$R,"!!!!!",0)</f>
        <v>0</v>
      </c>
      <c r="J44" s="471">
        <f>_xlfn.XLOOKUP($A44,'Physical Condition Assessment'!$U:$U,'Physical Condition Assessment'!$S:$S,"!!!!!",0)</f>
        <v>0</v>
      </c>
      <c r="K44" s="469">
        <f>_xlfn.XLOOKUP($A44,'Physical Condition Assessment'!$U:$U,'Physical Condition Assessment'!$T:$T,"!!!!!",0)</f>
        <v>0</v>
      </c>
      <c r="L44" s="502" t="str">
        <f>_xlfn.XLOOKUP($A44,'Physical Condition Assessment'!$U:$U,'Physical Condition Assessment'!$V:$V,"missing",0)</f>
        <v>Foundation</v>
      </c>
      <c r="M44" s="469" t="str">
        <f>_xlfn.XLOOKUP($A44,'Physical Condition Assessment'!$U:$U,'Physical Condition Assessment'!$AE:$AE,"!!!!!",0)</f>
        <v>SF</v>
      </c>
      <c r="N44" s="471">
        <f>_xlfn.XLOOKUP($A44,'Physical Condition Assessment'!$U:$U,'Physical Condition Assessment'!$AP:$AP,"!!!!!",0)</f>
        <v>0</v>
      </c>
      <c r="O44" s="526">
        <f t="shared" si="0"/>
        <v>0</v>
      </c>
      <c r="P44" s="502" t="str">
        <f t="shared" si="1"/>
        <v>Green</v>
      </c>
      <c r="R44" s="502" t="str">
        <f t="shared" si="2"/>
        <v/>
      </c>
      <c r="S44" s="502" t="str">
        <f t="shared" si="3"/>
        <v/>
      </c>
      <c r="T44" s="95" t="s">
        <v>560</v>
      </c>
      <c r="U44" s="95" t="s">
        <v>561</v>
      </c>
      <c r="V44" s="95" t="s">
        <v>562</v>
      </c>
      <c r="W44" s="95" t="s">
        <v>563</v>
      </c>
      <c r="X44" s="95" t="s">
        <v>472</v>
      </c>
    </row>
    <row r="45" spans="1:26" x14ac:dyDescent="0.2">
      <c r="A45" s="502" t="s">
        <v>325</v>
      </c>
      <c r="B45" s="469">
        <f>_xlfn.XLOOKUP($A45,'Physical Condition Assessment'!$U:$U,'Physical Condition Assessment'!$E:$E,"!!!!!",0)</f>
        <v>0</v>
      </c>
      <c r="C45" s="469">
        <f>_xlfn.XLOOKUP($A45,'Physical Condition Assessment'!$U:$U,'Physical Condition Assessment'!$F:$F,"!!!!!",0)</f>
        <v>0</v>
      </c>
      <c r="D45" s="469">
        <f>_xlfn.XLOOKUP($A45,'Physical Condition Assessment'!$U:$U,'Physical Condition Assessment'!$H:$H,"!!!!!",0)</f>
        <v>0</v>
      </c>
      <c r="E45" s="469">
        <f>_xlfn.XLOOKUP($A45,'Physical Condition Assessment'!$U:$U,'Physical Condition Assessment'!$J:$J,"!!!!!",0)</f>
        <v>0</v>
      </c>
      <c r="F45" s="469">
        <f>_xlfn.XLOOKUP($A45,'Physical Condition Assessment'!$U:$U,'Physical Condition Assessment'!$L:$L,"!!!!!",0)</f>
        <v>0</v>
      </c>
      <c r="G45" s="469">
        <f>_xlfn.XLOOKUP($A45,'Physical Condition Assessment'!$U:$U,'Physical Condition Assessment'!$N:$N,"!!!!!",0)</f>
        <v>0</v>
      </c>
      <c r="H45" s="469">
        <f>_xlfn.XLOOKUP($A45,'Physical Condition Assessment'!$U:$U,'Physical Condition Assessment'!$P:$P,"!!!!!",0)</f>
        <v>0</v>
      </c>
      <c r="I45" s="525">
        <f>_xlfn.XLOOKUP($A45,'Physical Condition Assessment'!$U:$U,'Physical Condition Assessment'!$R:$R,"!!!!!",0)</f>
        <v>0</v>
      </c>
      <c r="J45" s="471">
        <f>_xlfn.XLOOKUP($A45,'Physical Condition Assessment'!$U:$U,'Physical Condition Assessment'!$S:$S,"!!!!!",0)</f>
        <v>0</v>
      </c>
      <c r="K45" s="469">
        <f>_xlfn.XLOOKUP($A45,'Physical Condition Assessment'!$U:$U,'Physical Condition Assessment'!$T:$T,"!!!!!",0)</f>
        <v>0</v>
      </c>
      <c r="L45" s="502" t="str">
        <f>_xlfn.XLOOKUP($A45,'Physical Condition Assessment'!$U:$U,'Physical Condition Assessment'!$V:$V,"missing",0)</f>
        <v>Furnishing, Fixtures, Equipment</v>
      </c>
      <c r="M45" s="469" t="str">
        <f>_xlfn.XLOOKUP($A45,'Physical Condition Assessment'!$U:$U,'Physical Condition Assessment'!$AE:$AE,"!!!!!",0)</f>
        <v>SF</v>
      </c>
      <c r="N45" s="471">
        <f>_xlfn.XLOOKUP($A45,'Physical Condition Assessment'!$U:$U,'Physical Condition Assessment'!$AP:$AP,"!!!!!",0)</f>
        <v>0</v>
      </c>
      <c r="O45" s="526">
        <f t="shared" si="0"/>
        <v>0</v>
      </c>
      <c r="P45" s="502" t="str">
        <f t="shared" si="1"/>
        <v>Green</v>
      </c>
      <c r="R45" s="502" t="str">
        <f t="shared" si="2"/>
        <v/>
      </c>
      <c r="S45" s="502" t="str">
        <f t="shared" si="3"/>
        <v/>
      </c>
      <c r="T45" s="95" t="s">
        <v>564</v>
      </c>
      <c r="U45" s="95" t="s">
        <v>565</v>
      </c>
      <c r="V45" s="95" t="s">
        <v>566</v>
      </c>
      <c r="W45" s="95" t="s">
        <v>567</v>
      </c>
      <c r="X45" s="95" t="s">
        <v>568</v>
      </c>
      <c r="Y45" s="95" t="s">
        <v>569</v>
      </c>
      <c r="Z45" s="95" t="s">
        <v>380</v>
      </c>
    </row>
    <row r="46" spans="1:26" x14ac:dyDescent="0.2">
      <c r="A46" s="502" t="s">
        <v>328</v>
      </c>
      <c r="B46" s="469">
        <f>_xlfn.XLOOKUP($A46,'Physical Condition Assessment'!$U:$U,'Physical Condition Assessment'!$E:$E,"!!!!!",0)</f>
        <v>0</v>
      </c>
      <c r="C46" s="469">
        <f>_xlfn.XLOOKUP($A46,'Physical Condition Assessment'!$U:$U,'Physical Condition Assessment'!$F:$F,"!!!!!",0)</f>
        <v>0</v>
      </c>
      <c r="D46" s="469">
        <f>_xlfn.XLOOKUP($A46,'Physical Condition Assessment'!$U:$U,'Physical Condition Assessment'!$H:$H,"!!!!!",0)</f>
        <v>0</v>
      </c>
      <c r="E46" s="469">
        <f>_xlfn.XLOOKUP($A46,'Physical Condition Assessment'!$U:$U,'Physical Condition Assessment'!$J:$J,"!!!!!",0)</f>
        <v>0</v>
      </c>
      <c r="F46" s="469">
        <f>_xlfn.XLOOKUP($A46,'Physical Condition Assessment'!$U:$U,'Physical Condition Assessment'!$L:$L,"!!!!!",0)</f>
        <v>0</v>
      </c>
      <c r="G46" s="469">
        <f>_xlfn.XLOOKUP($A46,'Physical Condition Assessment'!$U:$U,'Physical Condition Assessment'!$N:$N,"!!!!!",0)</f>
        <v>0</v>
      </c>
      <c r="H46" s="469">
        <f>_xlfn.XLOOKUP($A46,'Physical Condition Assessment'!$U:$U,'Physical Condition Assessment'!$P:$P,"!!!!!",0)</f>
        <v>0</v>
      </c>
      <c r="I46" s="525">
        <f>_xlfn.XLOOKUP($A46,'Physical Condition Assessment'!$U:$U,'Physical Condition Assessment'!$R:$R,"!!!!!",0)</f>
        <v>0</v>
      </c>
      <c r="J46" s="471">
        <f>_xlfn.XLOOKUP($A46,'Physical Condition Assessment'!$U:$U,'Physical Condition Assessment'!$S:$S,"!!!!!",0)</f>
        <v>0</v>
      </c>
      <c r="K46" s="469">
        <f>_xlfn.XLOOKUP($A46,'Physical Condition Assessment'!$U:$U,'Physical Condition Assessment'!$T:$T,"!!!!!",0)</f>
        <v>0</v>
      </c>
      <c r="L46" s="502" t="str">
        <f>_xlfn.XLOOKUP($A46,'Physical Condition Assessment'!$U:$U,'Physical Condition Assessment'!$V:$V,"missing",0)</f>
        <v>Furnishing, Fixtures, Equipment</v>
      </c>
      <c r="M46" s="469" t="str">
        <f>_xlfn.XLOOKUP($A46,'Physical Condition Assessment'!$U:$U,'Physical Condition Assessment'!$AE:$AE,"!!!!!",0)</f>
        <v>SF</v>
      </c>
      <c r="N46" s="471">
        <f>_xlfn.XLOOKUP($A46,'Physical Condition Assessment'!$U:$U,'Physical Condition Assessment'!$AP:$AP,"!!!!!",0)</f>
        <v>0</v>
      </c>
      <c r="O46" s="526">
        <f t="shared" si="0"/>
        <v>0</v>
      </c>
      <c r="P46" s="502" t="str">
        <f t="shared" si="1"/>
        <v>Green</v>
      </c>
      <c r="R46" s="502" t="str">
        <f t="shared" si="2"/>
        <v/>
      </c>
      <c r="S46" s="502" t="str">
        <f t="shared" si="3"/>
        <v/>
      </c>
      <c r="T46" s="95" t="s">
        <v>564</v>
      </c>
      <c r="U46" s="95" t="s">
        <v>570</v>
      </c>
      <c r="V46" s="95" t="s">
        <v>571</v>
      </c>
      <c r="W46" s="95" t="s">
        <v>567</v>
      </c>
      <c r="X46" s="95" t="s">
        <v>568</v>
      </c>
      <c r="Y46" s="95" t="s">
        <v>327</v>
      </c>
    </row>
    <row r="47" spans="1:26" x14ac:dyDescent="0.2">
      <c r="A47" s="502" t="s">
        <v>333</v>
      </c>
      <c r="B47" s="469">
        <f>_xlfn.XLOOKUP($A47,'Physical Condition Assessment'!$U:$U,'Physical Condition Assessment'!$E:$E,"!!!!!",0)</f>
        <v>0</v>
      </c>
      <c r="C47" s="469">
        <f>_xlfn.XLOOKUP($A47,'Physical Condition Assessment'!$U:$U,'Physical Condition Assessment'!$F:$F,"!!!!!",0)</f>
        <v>0</v>
      </c>
      <c r="D47" s="469">
        <f>_xlfn.XLOOKUP($A47,'Physical Condition Assessment'!$U:$U,'Physical Condition Assessment'!$H:$H,"!!!!!",0)</f>
        <v>0</v>
      </c>
      <c r="E47" s="469">
        <f>_xlfn.XLOOKUP($A47,'Physical Condition Assessment'!$U:$U,'Physical Condition Assessment'!$J:$J,"!!!!!",0)</f>
        <v>0</v>
      </c>
      <c r="F47" s="469">
        <f>_xlfn.XLOOKUP($A47,'Physical Condition Assessment'!$U:$U,'Physical Condition Assessment'!$L:$L,"!!!!!",0)</f>
        <v>0</v>
      </c>
      <c r="G47" s="469">
        <f>_xlfn.XLOOKUP($A47,'Physical Condition Assessment'!$U:$U,'Physical Condition Assessment'!$N:$N,"!!!!!",0)</f>
        <v>0</v>
      </c>
      <c r="H47" s="469">
        <f>_xlfn.XLOOKUP($A47,'Physical Condition Assessment'!$U:$U,'Physical Condition Assessment'!$P:$P,"!!!!!",0)</f>
        <v>0</v>
      </c>
      <c r="I47" s="525">
        <f>_xlfn.XLOOKUP($A47,'Physical Condition Assessment'!$U:$U,'Physical Condition Assessment'!$R:$R,"!!!!!",0)</f>
        <v>0</v>
      </c>
      <c r="J47" s="471">
        <f>_xlfn.XLOOKUP($A47,'Physical Condition Assessment'!$U:$U,'Physical Condition Assessment'!$S:$S,"!!!!!",0)</f>
        <v>0</v>
      </c>
      <c r="K47" s="469">
        <f>_xlfn.XLOOKUP($A47,'Physical Condition Assessment'!$U:$U,'Physical Condition Assessment'!$T:$T,"!!!!!",0)</f>
        <v>0</v>
      </c>
      <c r="L47" s="502" t="str">
        <f>_xlfn.XLOOKUP($A47,'Physical Condition Assessment'!$U:$U,'Physical Condition Assessment'!$V:$V,"missing",0)</f>
        <v>Furnishing, Fixtures, Equipment</v>
      </c>
      <c r="M47" s="469" t="str">
        <f>_xlfn.XLOOKUP($A47,'Physical Condition Assessment'!$U:$U,'Physical Condition Assessment'!$AE:$AE,"!!!!!",0)</f>
        <v>Unit</v>
      </c>
      <c r="N47" s="471">
        <f>_xlfn.XLOOKUP($A47,'Physical Condition Assessment'!$U:$U,'Physical Condition Assessment'!$AP:$AP,"!!!!!",0)</f>
        <v>0</v>
      </c>
      <c r="O47" s="526">
        <f t="shared" si="0"/>
        <v>0</v>
      </c>
      <c r="P47" s="502" t="str">
        <f t="shared" si="1"/>
        <v>Green</v>
      </c>
      <c r="R47" s="502" t="str">
        <f t="shared" si="2"/>
        <v/>
      </c>
      <c r="S47" s="502" t="str">
        <f t="shared" si="3"/>
        <v/>
      </c>
      <c r="T47" s="95" t="s">
        <v>572</v>
      </c>
      <c r="U47" s="95" t="s">
        <v>573</v>
      </c>
      <c r="V47" s="95" t="s">
        <v>574</v>
      </c>
      <c r="W47" s="95" t="s">
        <v>575</v>
      </c>
      <c r="X47" s="95" t="s">
        <v>568</v>
      </c>
      <c r="Y47" s="95" t="s">
        <v>332</v>
      </c>
    </row>
    <row r="48" spans="1:26" x14ac:dyDescent="0.2">
      <c r="A48" s="502" t="s">
        <v>337</v>
      </c>
      <c r="B48" s="469">
        <f>_xlfn.XLOOKUP($A48,'Physical Condition Assessment'!$U:$U,'Physical Condition Assessment'!$E:$E,"!!!!!",0)</f>
        <v>0</v>
      </c>
      <c r="C48" s="469">
        <f>_xlfn.XLOOKUP($A48,'Physical Condition Assessment'!$U:$U,'Physical Condition Assessment'!$F:$F,"!!!!!",0)</f>
        <v>0</v>
      </c>
      <c r="D48" s="469">
        <f>_xlfn.XLOOKUP($A48,'Physical Condition Assessment'!$U:$U,'Physical Condition Assessment'!$H:$H,"!!!!!",0)</f>
        <v>0</v>
      </c>
      <c r="E48" s="469">
        <f>_xlfn.XLOOKUP($A48,'Physical Condition Assessment'!$U:$U,'Physical Condition Assessment'!$J:$J,"!!!!!",0)</f>
        <v>0</v>
      </c>
      <c r="F48" s="469">
        <f>_xlfn.XLOOKUP($A48,'Physical Condition Assessment'!$U:$U,'Physical Condition Assessment'!$L:$L,"!!!!!",0)</f>
        <v>0</v>
      </c>
      <c r="G48" s="469">
        <f>_xlfn.XLOOKUP($A48,'Physical Condition Assessment'!$U:$U,'Physical Condition Assessment'!$N:$N,"!!!!!",0)</f>
        <v>0</v>
      </c>
      <c r="H48" s="469">
        <f>_xlfn.XLOOKUP($A48,'Physical Condition Assessment'!$U:$U,'Physical Condition Assessment'!$P:$P,"!!!!!",0)</f>
        <v>0</v>
      </c>
      <c r="I48" s="525">
        <f>_xlfn.XLOOKUP($A48,'Physical Condition Assessment'!$U:$U,'Physical Condition Assessment'!$R:$R,"!!!!!",0)</f>
        <v>0</v>
      </c>
      <c r="J48" s="471">
        <f>_xlfn.XLOOKUP($A48,'Physical Condition Assessment'!$U:$U,'Physical Condition Assessment'!$S:$S,"!!!!!",0)</f>
        <v>0</v>
      </c>
      <c r="K48" s="469">
        <f>_xlfn.XLOOKUP($A48,'Physical Condition Assessment'!$U:$U,'Physical Condition Assessment'!$T:$T,"!!!!!",0)</f>
        <v>0</v>
      </c>
      <c r="L48" s="502" t="str">
        <f>_xlfn.XLOOKUP($A48,'Physical Condition Assessment'!$U:$U,'Physical Condition Assessment'!$V:$V,"missing",0)</f>
        <v>Furnishing, Fixtures, Equipment</v>
      </c>
      <c r="M48" s="469" t="str">
        <f>_xlfn.XLOOKUP($A48,'Physical Condition Assessment'!$U:$U,'Physical Condition Assessment'!$AE:$AE,"!!!!!",0)</f>
        <v>SF</v>
      </c>
      <c r="N48" s="471">
        <f>_xlfn.XLOOKUP($A48,'Physical Condition Assessment'!$U:$U,'Physical Condition Assessment'!$AP:$AP,"!!!!!",0)</f>
        <v>0</v>
      </c>
      <c r="O48" s="526">
        <f t="shared" si="0"/>
        <v>0</v>
      </c>
      <c r="P48" s="502" t="str">
        <f t="shared" si="1"/>
        <v>Green</v>
      </c>
      <c r="R48" s="502" t="str">
        <f t="shared" si="2"/>
        <v/>
      </c>
      <c r="S48" s="502" t="str">
        <f t="shared" si="3"/>
        <v/>
      </c>
      <c r="T48" s="95" t="s">
        <v>572</v>
      </c>
      <c r="U48" s="95" t="s">
        <v>576</v>
      </c>
      <c r="V48" s="95" t="s">
        <v>577</v>
      </c>
      <c r="W48" s="95" t="s">
        <v>575</v>
      </c>
      <c r="X48" s="95" t="s">
        <v>568</v>
      </c>
      <c r="Y48" s="95" t="s">
        <v>578</v>
      </c>
      <c r="Z48" s="95" t="s">
        <v>579</v>
      </c>
    </row>
    <row r="49" spans="1:28" x14ac:dyDescent="0.2">
      <c r="A49" s="502" t="s">
        <v>331</v>
      </c>
      <c r="B49" s="469">
        <f>_xlfn.XLOOKUP($A49,'Physical Condition Assessment'!$U:$U,'Physical Condition Assessment'!$E:$E,"!!!!!",0)</f>
        <v>0</v>
      </c>
      <c r="C49" s="469">
        <f>_xlfn.XLOOKUP($A49,'Physical Condition Assessment'!$U:$U,'Physical Condition Assessment'!$F:$F,"!!!!!",0)</f>
        <v>0</v>
      </c>
      <c r="D49" s="469">
        <f>_xlfn.XLOOKUP($A49,'Physical Condition Assessment'!$U:$U,'Physical Condition Assessment'!$H:$H,"!!!!!",0)</f>
        <v>0</v>
      </c>
      <c r="E49" s="469">
        <f>_xlfn.XLOOKUP($A49,'Physical Condition Assessment'!$U:$U,'Physical Condition Assessment'!$J:$J,"!!!!!",0)</f>
        <v>0</v>
      </c>
      <c r="F49" s="469">
        <f>_xlfn.XLOOKUP($A49,'Physical Condition Assessment'!$U:$U,'Physical Condition Assessment'!$L:$L,"!!!!!",0)</f>
        <v>0</v>
      </c>
      <c r="G49" s="469">
        <f>_xlfn.XLOOKUP($A49,'Physical Condition Assessment'!$U:$U,'Physical Condition Assessment'!$N:$N,"!!!!!",0)</f>
        <v>0</v>
      </c>
      <c r="H49" s="469">
        <f>_xlfn.XLOOKUP($A49,'Physical Condition Assessment'!$U:$U,'Physical Condition Assessment'!$P:$P,"!!!!!",0)</f>
        <v>0</v>
      </c>
      <c r="I49" s="525">
        <f>_xlfn.XLOOKUP($A49,'Physical Condition Assessment'!$U:$U,'Physical Condition Assessment'!$R:$R,"!!!!!",0)</f>
        <v>0</v>
      </c>
      <c r="J49" s="471">
        <f>_xlfn.XLOOKUP($A49,'Physical Condition Assessment'!$U:$U,'Physical Condition Assessment'!$S:$S,"!!!!!",0)</f>
        <v>0</v>
      </c>
      <c r="K49" s="469">
        <f>_xlfn.XLOOKUP($A49,'Physical Condition Assessment'!$U:$U,'Physical Condition Assessment'!$T:$T,"!!!!!",0)</f>
        <v>0</v>
      </c>
      <c r="L49" s="502" t="str">
        <f>_xlfn.XLOOKUP($A49,'Physical Condition Assessment'!$U:$U,'Physical Condition Assessment'!$V:$V,"missing",0)</f>
        <v>Furnishing, Fixtures, Equipment</v>
      </c>
      <c r="M49" s="469" t="str">
        <f>_xlfn.XLOOKUP($A49,'Physical Condition Assessment'!$U:$U,'Physical Condition Assessment'!$AE:$AE,"!!!!!",0)</f>
        <v>Unit</v>
      </c>
      <c r="N49" s="471">
        <f>_xlfn.XLOOKUP($A49,'Physical Condition Assessment'!$U:$U,'Physical Condition Assessment'!$AP:$AP,"!!!!!",0)</f>
        <v>0</v>
      </c>
      <c r="O49" s="526">
        <f t="shared" si="0"/>
        <v>0</v>
      </c>
      <c r="P49" s="502" t="str">
        <f t="shared" si="1"/>
        <v>Green</v>
      </c>
      <c r="R49" s="502" t="str">
        <f t="shared" si="2"/>
        <v/>
      </c>
      <c r="S49" s="502" t="str">
        <f t="shared" si="3"/>
        <v/>
      </c>
      <c r="T49" s="95" t="s">
        <v>572</v>
      </c>
      <c r="U49" s="95" t="s">
        <v>580</v>
      </c>
      <c r="V49" s="95" t="s">
        <v>581</v>
      </c>
      <c r="W49" s="95" t="s">
        <v>575</v>
      </c>
      <c r="X49" s="95" t="s">
        <v>568</v>
      </c>
      <c r="Y49" s="95" t="s">
        <v>330</v>
      </c>
    </row>
    <row r="50" spans="1:28" x14ac:dyDescent="0.2">
      <c r="A50" s="502" t="s">
        <v>335</v>
      </c>
      <c r="B50" s="469">
        <f>_xlfn.XLOOKUP($A50,'Physical Condition Assessment'!$U:$U,'Physical Condition Assessment'!$E:$E,"!!!!!",0)</f>
        <v>0</v>
      </c>
      <c r="C50" s="469">
        <f>_xlfn.XLOOKUP($A50,'Physical Condition Assessment'!$U:$U,'Physical Condition Assessment'!$F:$F,"!!!!!",0)</f>
        <v>0</v>
      </c>
      <c r="D50" s="469">
        <f>_xlfn.XLOOKUP($A50,'Physical Condition Assessment'!$U:$U,'Physical Condition Assessment'!$H:$H,"!!!!!",0)</f>
        <v>0</v>
      </c>
      <c r="E50" s="469">
        <f>_xlfn.XLOOKUP($A50,'Physical Condition Assessment'!$U:$U,'Physical Condition Assessment'!$J:$J,"!!!!!",0)</f>
        <v>0</v>
      </c>
      <c r="F50" s="469">
        <f>_xlfn.XLOOKUP($A50,'Physical Condition Assessment'!$U:$U,'Physical Condition Assessment'!$L:$L,"!!!!!",0)</f>
        <v>0</v>
      </c>
      <c r="G50" s="469">
        <f>_xlfn.XLOOKUP($A50,'Physical Condition Assessment'!$U:$U,'Physical Condition Assessment'!$N:$N,"!!!!!",0)</f>
        <v>0</v>
      </c>
      <c r="H50" s="469">
        <f>_xlfn.XLOOKUP($A50,'Physical Condition Assessment'!$U:$U,'Physical Condition Assessment'!$P:$P,"!!!!!",0)</f>
        <v>0</v>
      </c>
      <c r="I50" s="525">
        <f>_xlfn.XLOOKUP($A50,'Physical Condition Assessment'!$U:$U,'Physical Condition Assessment'!$R:$R,"!!!!!",0)</f>
        <v>0</v>
      </c>
      <c r="J50" s="471">
        <f>_xlfn.XLOOKUP($A50,'Physical Condition Assessment'!$U:$U,'Physical Condition Assessment'!$S:$S,"!!!!!",0)</f>
        <v>0</v>
      </c>
      <c r="K50" s="469">
        <f>_xlfn.XLOOKUP($A50,'Physical Condition Assessment'!$U:$U,'Physical Condition Assessment'!$T:$T,"!!!!!",0)</f>
        <v>0</v>
      </c>
      <c r="L50" s="502" t="str">
        <f>_xlfn.XLOOKUP($A50,'Physical Condition Assessment'!$U:$U,'Physical Condition Assessment'!$V:$V,"missing",0)</f>
        <v>Furnishing, Fixtures, Equipment</v>
      </c>
      <c r="M50" s="469" t="str">
        <f>_xlfn.XLOOKUP($A50,'Physical Condition Assessment'!$U:$U,'Physical Condition Assessment'!$AE:$AE,"!!!!!",0)</f>
        <v>Unit</v>
      </c>
      <c r="N50" s="471">
        <f>_xlfn.XLOOKUP($A50,'Physical Condition Assessment'!$U:$U,'Physical Condition Assessment'!$AP:$AP,"!!!!!",0)</f>
        <v>0</v>
      </c>
      <c r="O50" s="526">
        <f t="shared" si="0"/>
        <v>0</v>
      </c>
      <c r="P50" s="502" t="str">
        <f t="shared" si="1"/>
        <v>Green</v>
      </c>
      <c r="R50" s="502" t="str">
        <f t="shared" si="2"/>
        <v/>
      </c>
      <c r="S50" s="502" t="str">
        <f t="shared" si="3"/>
        <v/>
      </c>
      <c r="T50" s="95" t="s">
        <v>572</v>
      </c>
      <c r="U50" s="95" t="s">
        <v>582</v>
      </c>
      <c r="V50" s="95" t="s">
        <v>583</v>
      </c>
      <c r="W50" s="95" t="s">
        <v>575</v>
      </c>
      <c r="X50" s="95" t="s">
        <v>568</v>
      </c>
      <c r="Y50" s="95" t="s">
        <v>584</v>
      </c>
      <c r="Z50" s="95" t="s">
        <v>585</v>
      </c>
    </row>
    <row r="51" spans="1:28" x14ac:dyDescent="0.2">
      <c r="A51" s="502" t="s">
        <v>342</v>
      </c>
      <c r="B51" s="469">
        <f>_xlfn.XLOOKUP($A51,'Physical Condition Assessment'!$U:$U,'Physical Condition Assessment'!$E:$E,"!!!!!",0)</f>
        <v>0</v>
      </c>
      <c r="C51" s="469">
        <f>_xlfn.XLOOKUP($A51,'Physical Condition Assessment'!$U:$U,'Physical Condition Assessment'!$F:$F,"!!!!!",0)</f>
        <v>0</v>
      </c>
      <c r="D51" s="469">
        <f>_xlfn.XLOOKUP($A51,'Physical Condition Assessment'!$U:$U,'Physical Condition Assessment'!$H:$H,"!!!!!",0)</f>
        <v>0</v>
      </c>
      <c r="E51" s="469">
        <f>_xlfn.XLOOKUP($A51,'Physical Condition Assessment'!$U:$U,'Physical Condition Assessment'!$J:$J,"!!!!!",0)</f>
        <v>0</v>
      </c>
      <c r="F51" s="469">
        <f>_xlfn.XLOOKUP($A51,'Physical Condition Assessment'!$U:$U,'Physical Condition Assessment'!$L:$L,"!!!!!",0)</f>
        <v>0</v>
      </c>
      <c r="G51" s="469">
        <f>_xlfn.XLOOKUP($A51,'Physical Condition Assessment'!$U:$U,'Physical Condition Assessment'!$N:$N,"!!!!!",0)</f>
        <v>0</v>
      </c>
      <c r="H51" s="469">
        <f>_xlfn.XLOOKUP($A51,'Physical Condition Assessment'!$U:$U,'Physical Condition Assessment'!$P:$P,"!!!!!",0)</f>
        <v>0</v>
      </c>
      <c r="I51" s="525">
        <f>_xlfn.XLOOKUP($A51,'Physical Condition Assessment'!$U:$U,'Physical Condition Assessment'!$R:$R,"!!!!!",0)</f>
        <v>0</v>
      </c>
      <c r="J51" s="471">
        <f>_xlfn.XLOOKUP($A51,'Physical Condition Assessment'!$U:$U,'Physical Condition Assessment'!$S:$S,"!!!!!",0)</f>
        <v>0</v>
      </c>
      <c r="K51" s="469">
        <f>_xlfn.XLOOKUP($A51,'Physical Condition Assessment'!$U:$U,'Physical Condition Assessment'!$T:$T,"!!!!!",0)</f>
        <v>0</v>
      </c>
      <c r="L51" s="502" t="str">
        <f>_xlfn.XLOOKUP($A51,'Physical Condition Assessment'!$U:$U,'Physical Condition Assessment'!$V:$V,"missing",0)</f>
        <v>Furnishing, Fixtures, Equipment</v>
      </c>
      <c r="M51" s="469" t="str">
        <f>_xlfn.XLOOKUP($A51,'Physical Condition Assessment'!$U:$U,'Physical Condition Assessment'!$AE:$AE,"!!!!!",0)</f>
        <v>SF</v>
      </c>
      <c r="N51" s="471">
        <f>_xlfn.XLOOKUP($A51,'Physical Condition Assessment'!$U:$U,'Physical Condition Assessment'!$AP:$AP,"!!!!!",0)</f>
        <v>0</v>
      </c>
      <c r="O51" s="526">
        <f t="shared" si="0"/>
        <v>0</v>
      </c>
      <c r="P51" s="502" t="str">
        <f t="shared" si="1"/>
        <v>Green</v>
      </c>
      <c r="R51" s="502" t="str">
        <f t="shared" si="2"/>
        <v/>
      </c>
      <c r="S51" s="502" t="str">
        <f t="shared" si="3"/>
        <v/>
      </c>
      <c r="T51" s="95" t="s">
        <v>586</v>
      </c>
      <c r="U51" s="95" t="s">
        <v>587</v>
      </c>
      <c r="V51" s="95" t="s">
        <v>588</v>
      </c>
      <c r="W51" s="95" t="s">
        <v>589</v>
      </c>
      <c r="X51" s="95" t="s">
        <v>590</v>
      </c>
    </row>
    <row r="52" spans="1:28" x14ac:dyDescent="0.2">
      <c r="A52" s="502" t="s">
        <v>344</v>
      </c>
      <c r="B52" s="469">
        <f>_xlfn.XLOOKUP($A52,'Physical Condition Assessment'!$U:$U,'Physical Condition Assessment'!$E:$E,"!!!!!",0)</f>
        <v>0</v>
      </c>
      <c r="C52" s="469">
        <f>_xlfn.XLOOKUP($A52,'Physical Condition Assessment'!$U:$U,'Physical Condition Assessment'!$F:$F,"!!!!!",0)</f>
        <v>0</v>
      </c>
      <c r="D52" s="469">
        <f>_xlfn.XLOOKUP($A52,'Physical Condition Assessment'!$U:$U,'Physical Condition Assessment'!$H:$H,"!!!!!",0)</f>
        <v>0</v>
      </c>
      <c r="E52" s="469">
        <f>_xlfn.XLOOKUP($A52,'Physical Condition Assessment'!$U:$U,'Physical Condition Assessment'!$J:$J,"!!!!!",0)</f>
        <v>0</v>
      </c>
      <c r="F52" s="469">
        <f>_xlfn.XLOOKUP($A52,'Physical Condition Assessment'!$U:$U,'Physical Condition Assessment'!$L:$L,"!!!!!",0)</f>
        <v>0</v>
      </c>
      <c r="G52" s="469">
        <f>_xlfn.XLOOKUP($A52,'Physical Condition Assessment'!$U:$U,'Physical Condition Assessment'!$N:$N,"!!!!!",0)</f>
        <v>0</v>
      </c>
      <c r="H52" s="469">
        <f>_xlfn.XLOOKUP($A52,'Physical Condition Assessment'!$U:$U,'Physical Condition Assessment'!$P:$P,"!!!!!",0)</f>
        <v>0</v>
      </c>
      <c r="I52" s="525">
        <f>_xlfn.XLOOKUP($A52,'Physical Condition Assessment'!$U:$U,'Physical Condition Assessment'!$R:$R,"!!!!!",0)</f>
        <v>0</v>
      </c>
      <c r="J52" s="471">
        <f>_xlfn.XLOOKUP($A52,'Physical Condition Assessment'!$U:$U,'Physical Condition Assessment'!$S:$S,"!!!!!",0)</f>
        <v>0</v>
      </c>
      <c r="K52" s="469">
        <f>_xlfn.XLOOKUP($A52,'Physical Condition Assessment'!$U:$U,'Physical Condition Assessment'!$T:$T,"!!!!!",0)</f>
        <v>0</v>
      </c>
      <c r="L52" s="502" t="str">
        <f>_xlfn.XLOOKUP($A52,'Physical Condition Assessment'!$U:$U,'Physical Condition Assessment'!$V:$V,"missing",0)</f>
        <v>Furnishing, Fixtures, Equipment</v>
      </c>
      <c r="M52" s="469" t="str">
        <f>_xlfn.XLOOKUP($A52,'Physical Condition Assessment'!$U:$U,'Physical Condition Assessment'!$AE:$AE,"!!!!!",0)</f>
        <v>SF</v>
      </c>
      <c r="N52" s="471">
        <f>_xlfn.XLOOKUP($A52,'Physical Condition Assessment'!$U:$U,'Physical Condition Assessment'!$AP:$AP,"!!!!!",0)</f>
        <v>0</v>
      </c>
      <c r="O52" s="526">
        <f t="shared" si="0"/>
        <v>0</v>
      </c>
      <c r="P52" s="502" t="str">
        <f t="shared" si="1"/>
        <v>Green</v>
      </c>
      <c r="R52" s="502" t="str">
        <f t="shared" si="2"/>
        <v/>
      </c>
      <c r="S52" s="502" t="str">
        <f t="shared" si="3"/>
        <v/>
      </c>
      <c r="T52" s="95" t="s">
        <v>591</v>
      </c>
      <c r="U52" s="95" t="s">
        <v>592</v>
      </c>
      <c r="V52" s="95" t="s">
        <v>593</v>
      </c>
      <c r="W52" s="95" t="s">
        <v>594</v>
      </c>
      <c r="X52" s="95" t="s">
        <v>590</v>
      </c>
    </row>
    <row r="53" spans="1:28" x14ac:dyDescent="0.2">
      <c r="A53" s="502" t="s">
        <v>250</v>
      </c>
      <c r="B53" s="469">
        <f>_xlfn.XLOOKUP($A53,'Physical Condition Assessment'!$U:$U,'Physical Condition Assessment'!$E:$E,"!!!!!",0)</f>
        <v>0</v>
      </c>
      <c r="C53" s="469">
        <f>_xlfn.XLOOKUP($A53,'Physical Condition Assessment'!$U:$U,'Physical Condition Assessment'!$F:$F,"!!!!!",0)</f>
        <v>0</v>
      </c>
      <c r="D53" s="469">
        <f>_xlfn.XLOOKUP($A53,'Physical Condition Assessment'!$U:$U,'Physical Condition Assessment'!$H:$H,"!!!!!",0)</f>
        <v>0</v>
      </c>
      <c r="E53" s="469">
        <f>_xlfn.XLOOKUP($A53,'Physical Condition Assessment'!$U:$U,'Physical Condition Assessment'!$J:$J,"!!!!!",0)</f>
        <v>0</v>
      </c>
      <c r="F53" s="469">
        <f>_xlfn.XLOOKUP($A53,'Physical Condition Assessment'!$U:$U,'Physical Condition Assessment'!$L:$L,"!!!!!",0)</f>
        <v>0</v>
      </c>
      <c r="G53" s="469">
        <f>_xlfn.XLOOKUP($A53,'Physical Condition Assessment'!$U:$U,'Physical Condition Assessment'!$N:$N,"!!!!!",0)</f>
        <v>0</v>
      </c>
      <c r="H53" s="469">
        <f>_xlfn.XLOOKUP($A53,'Physical Condition Assessment'!$U:$U,'Physical Condition Assessment'!$P:$P,"!!!!!",0)</f>
        <v>0</v>
      </c>
      <c r="I53" s="525">
        <f>_xlfn.XLOOKUP($A53,'Physical Condition Assessment'!$U:$U,'Physical Condition Assessment'!$R:$R,"!!!!!",0)</f>
        <v>0</v>
      </c>
      <c r="J53" s="471">
        <f>_xlfn.XLOOKUP($A53,'Physical Condition Assessment'!$U:$U,'Physical Condition Assessment'!$S:$S,"!!!!!",0)</f>
        <v>0</v>
      </c>
      <c r="K53" s="469">
        <f>_xlfn.XLOOKUP($A53,'Physical Condition Assessment'!$U:$U,'Physical Condition Assessment'!$T:$T,"!!!!!",0)</f>
        <v>0</v>
      </c>
      <c r="L53" s="502" t="str">
        <f>_xlfn.XLOOKUP($A53,'Physical Condition Assessment'!$U:$U,'Physical Condition Assessment'!$V:$V,"missing",0)</f>
        <v>HVAC</v>
      </c>
      <c r="M53" s="469" t="str">
        <f>_xlfn.XLOOKUP($A53,'Physical Condition Assessment'!$U:$U,'Physical Condition Assessment'!$AE:$AE,"!!!!!",0)</f>
        <v>SF</v>
      </c>
      <c r="N53" s="471">
        <f>_xlfn.XLOOKUP($A53,'Physical Condition Assessment'!$U:$U,'Physical Condition Assessment'!$AP:$AP,"!!!!!",0)</f>
        <v>0</v>
      </c>
      <c r="O53" s="526">
        <f t="shared" si="0"/>
        <v>0</v>
      </c>
      <c r="P53" s="502" t="str">
        <f t="shared" si="1"/>
        <v>Green</v>
      </c>
      <c r="R53" s="502" t="str">
        <f t="shared" si="2"/>
        <v/>
      </c>
      <c r="S53" s="502" t="str">
        <f t="shared" si="3"/>
        <v/>
      </c>
      <c r="T53" s="95" t="s">
        <v>595</v>
      </c>
      <c r="U53" s="95" t="s">
        <v>596</v>
      </c>
      <c r="V53" s="95" t="s">
        <v>597</v>
      </c>
      <c r="W53" s="95" t="s">
        <v>598</v>
      </c>
      <c r="X53" s="95" t="s">
        <v>599</v>
      </c>
    </row>
    <row r="54" spans="1:28" x14ac:dyDescent="0.2">
      <c r="A54" s="502" t="s">
        <v>261</v>
      </c>
      <c r="B54" s="469">
        <f>_xlfn.XLOOKUP($A54,'Physical Condition Assessment'!$U:$U,'Physical Condition Assessment'!$E:$E,"!!!!!",0)</f>
        <v>0</v>
      </c>
      <c r="C54" s="469">
        <f>_xlfn.XLOOKUP($A54,'Physical Condition Assessment'!$U:$U,'Physical Condition Assessment'!$F:$F,"!!!!!",0)</f>
        <v>0</v>
      </c>
      <c r="D54" s="469">
        <f>_xlfn.XLOOKUP($A54,'Physical Condition Assessment'!$U:$U,'Physical Condition Assessment'!$H:$H,"!!!!!",0)</f>
        <v>0</v>
      </c>
      <c r="E54" s="469">
        <f>_xlfn.XLOOKUP($A54,'Physical Condition Assessment'!$U:$U,'Physical Condition Assessment'!$J:$J,"!!!!!",0)</f>
        <v>0</v>
      </c>
      <c r="F54" s="469">
        <f>_xlfn.XLOOKUP($A54,'Physical Condition Assessment'!$U:$U,'Physical Condition Assessment'!$L:$L,"!!!!!",0)</f>
        <v>0</v>
      </c>
      <c r="G54" s="469">
        <f>_xlfn.XLOOKUP($A54,'Physical Condition Assessment'!$U:$U,'Physical Condition Assessment'!$N:$N,"!!!!!",0)</f>
        <v>0</v>
      </c>
      <c r="H54" s="469">
        <f>_xlfn.XLOOKUP($A54,'Physical Condition Assessment'!$U:$U,'Physical Condition Assessment'!$P:$P,"!!!!!",0)</f>
        <v>0</v>
      </c>
      <c r="I54" s="525">
        <f>_xlfn.XLOOKUP($A54,'Physical Condition Assessment'!$U:$U,'Physical Condition Assessment'!$R:$R,"!!!!!",0)</f>
        <v>0</v>
      </c>
      <c r="J54" s="471">
        <f>_xlfn.XLOOKUP($A54,'Physical Condition Assessment'!$U:$U,'Physical Condition Assessment'!$S:$S,"!!!!!",0)</f>
        <v>0</v>
      </c>
      <c r="K54" s="469">
        <f>_xlfn.XLOOKUP($A54,'Physical Condition Assessment'!$U:$U,'Physical Condition Assessment'!$T:$T,"!!!!!",0)</f>
        <v>0</v>
      </c>
      <c r="L54" s="502" t="str">
        <f>_xlfn.XLOOKUP($A54,'Physical Condition Assessment'!$U:$U,'Physical Condition Assessment'!$V:$V,"missing",0)</f>
        <v>HVAC</v>
      </c>
      <c r="M54" s="469" t="str">
        <f>_xlfn.XLOOKUP($A54,'Physical Condition Assessment'!$U:$U,'Physical Condition Assessment'!$AE:$AE,"!!!!!",0)</f>
        <v>SF</v>
      </c>
      <c r="N54" s="471">
        <f>_xlfn.XLOOKUP($A54,'Physical Condition Assessment'!$U:$U,'Physical Condition Assessment'!$AP:$AP,"!!!!!",0)</f>
        <v>0</v>
      </c>
      <c r="O54" s="526">
        <f t="shared" si="0"/>
        <v>0</v>
      </c>
      <c r="P54" s="502" t="str">
        <f t="shared" si="1"/>
        <v>Green</v>
      </c>
      <c r="R54" s="502" t="str">
        <f t="shared" si="2"/>
        <v/>
      </c>
      <c r="S54" s="502" t="str">
        <f t="shared" si="3"/>
        <v/>
      </c>
      <c r="T54" s="95" t="s">
        <v>600</v>
      </c>
      <c r="U54" s="95" t="s">
        <v>601</v>
      </c>
      <c r="V54" s="95" t="s">
        <v>602</v>
      </c>
      <c r="W54" s="95" t="s">
        <v>603</v>
      </c>
      <c r="Z54" s="95" t="s">
        <v>604</v>
      </c>
      <c r="AA54" s="95" t="s">
        <v>605</v>
      </c>
    </row>
    <row r="55" spans="1:28" x14ac:dyDescent="0.2">
      <c r="A55" s="502" t="s">
        <v>258</v>
      </c>
      <c r="B55" s="469">
        <f>_xlfn.XLOOKUP($A55,'Physical Condition Assessment'!$U:$U,'Physical Condition Assessment'!$E:$E,"!!!!!",0)</f>
        <v>0</v>
      </c>
      <c r="C55" s="469">
        <f>_xlfn.XLOOKUP($A55,'Physical Condition Assessment'!$U:$U,'Physical Condition Assessment'!$F:$F,"!!!!!",0)</f>
        <v>0</v>
      </c>
      <c r="D55" s="469">
        <f>_xlfn.XLOOKUP($A55,'Physical Condition Assessment'!$U:$U,'Physical Condition Assessment'!$H:$H,"!!!!!",0)</f>
        <v>0</v>
      </c>
      <c r="E55" s="469">
        <f>_xlfn.XLOOKUP($A55,'Physical Condition Assessment'!$U:$U,'Physical Condition Assessment'!$J:$J,"!!!!!",0)</f>
        <v>0</v>
      </c>
      <c r="F55" s="469">
        <f>_xlfn.XLOOKUP($A55,'Physical Condition Assessment'!$U:$U,'Physical Condition Assessment'!$L:$L,"!!!!!",0)</f>
        <v>0</v>
      </c>
      <c r="G55" s="469">
        <f>_xlfn.XLOOKUP($A55,'Physical Condition Assessment'!$U:$U,'Physical Condition Assessment'!$N:$N,"!!!!!",0)</f>
        <v>0</v>
      </c>
      <c r="H55" s="469">
        <f>_xlfn.XLOOKUP($A55,'Physical Condition Assessment'!$U:$U,'Physical Condition Assessment'!$P:$P,"!!!!!",0)</f>
        <v>0</v>
      </c>
      <c r="I55" s="525">
        <f>_xlfn.XLOOKUP($A55,'Physical Condition Assessment'!$U:$U,'Physical Condition Assessment'!$R:$R,"!!!!!",0)</f>
        <v>0</v>
      </c>
      <c r="J55" s="471">
        <f>_xlfn.XLOOKUP($A55,'Physical Condition Assessment'!$U:$U,'Physical Condition Assessment'!$S:$S,"!!!!!",0)</f>
        <v>0</v>
      </c>
      <c r="K55" s="469">
        <f>_xlfn.XLOOKUP($A55,'Physical Condition Assessment'!$U:$U,'Physical Condition Assessment'!$T:$T,"!!!!!",0)</f>
        <v>0</v>
      </c>
      <c r="L55" s="502" t="str">
        <f>_xlfn.XLOOKUP($A55,'Physical Condition Assessment'!$U:$U,'Physical Condition Assessment'!$V:$V,"missing",0)</f>
        <v>HVAC</v>
      </c>
      <c r="M55" s="469" t="str">
        <f>_xlfn.XLOOKUP($A55,'Physical Condition Assessment'!$U:$U,'Physical Condition Assessment'!$AE:$AE,"!!!!!",0)</f>
        <v>SF</v>
      </c>
      <c r="N55" s="471">
        <f>_xlfn.XLOOKUP($A55,'Physical Condition Assessment'!$U:$U,'Physical Condition Assessment'!$AP:$AP,"!!!!!",0)</f>
        <v>0</v>
      </c>
      <c r="O55" s="526">
        <f t="shared" si="0"/>
        <v>0</v>
      </c>
      <c r="P55" s="502" t="str">
        <f t="shared" si="1"/>
        <v>Green</v>
      </c>
      <c r="R55" s="502" t="str">
        <f t="shared" si="2"/>
        <v/>
      </c>
      <c r="S55" s="502" t="str">
        <f t="shared" si="3"/>
        <v/>
      </c>
      <c r="T55" s="95" t="s">
        <v>600</v>
      </c>
      <c r="U55" s="95" t="s">
        <v>606</v>
      </c>
      <c r="V55" s="95" t="s">
        <v>607</v>
      </c>
      <c r="W55" s="95" t="s">
        <v>603</v>
      </c>
      <c r="Z55" s="95" t="s">
        <v>604</v>
      </c>
      <c r="AA55" s="95" t="s">
        <v>608</v>
      </c>
    </row>
    <row r="56" spans="1:28" x14ac:dyDescent="0.2">
      <c r="A56" s="502" t="s">
        <v>264</v>
      </c>
      <c r="B56" s="469">
        <f>_xlfn.XLOOKUP($A56,'Physical Condition Assessment'!$U:$U,'Physical Condition Assessment'!$E:$E,"!!!!!",0)</f>
        <v>0</v>
      </c>
      <c r="C56" s="469">
        <f>_xlfn.XLOOKUP($A56,'Physical Condition Assessment'!$U:$U,'Physical Condition Assessment'!$F:$F,"!!!!!",0)</f>
        <v>0</v>
      </c>
      <c r="D56" s="469">
        <f>_xlfn.XLOOKUP($A56,'Physical Condition Assessment'!$U:$U,'Physical Condition Assessment'!$H:$H,"!!!!!",0)</f>
        <v>0</v>
      </c>
      <c r="E56" s="469">
        <f>_xlfn.XLOOKUP($A56,'Physical Condition Assessment'!$U:$U,'Physical Condition Assessment'!$J:$J,"!!!!!",0)</f>
        <v>0</v>
      </c>
      <c r="F56" s="469">
        <f>_xlfn.XLOOKUP($A56,'Physical Condition Assessment'!$U:$U,'Physical Condition Assessment'!$L:$L,"!!!!!",0)</f>
        <v>0</v>
      </c>
      <c r="G56" s="469">
        <f>_xlfn.XLOOKUP($A56,'Physical Condition Assessment'!$U:$U,'Physical Condition Assessment'!$N:$N,"!!!!!",0)</f>
        <v>0</v>
      </c>
      <c r="H56" s="469">
        <f>_xlfn.XLOOKUP($A56,'Physical Condition Assessment'!$U:$U,'Physical Condition Assessment'!$P:$P,"!!!!!",0)</f>
        <v>0</v>
      </c>
      <c r="I56" s="525">
        <f>_xlfn.XLOOKUP($A56,'Physical Condition Assessment'!$U:$U,'Physical Condition Assessment'!$R:$R,"!!!!!",0)</f>
        <v>0</v>
      </c>
      <c r="J56" s="471">
        <f>_xlfn.XLOOKUP($A56,'Physical Condition Assessment'!$U:$U,'Physical Condition Assessment'!$S:$S,"!!!!!",0)</f>
        <v>0</v>
      </c>
      <c r="K56" s="469">
        <f>_xlfn.XLOOKUP($A56,'Physical Condition Assessment'!$U:$U,'Physical Condition Assessment'!$T:$T,"!!!!!",0)</f>
        <v>0</v>
      </c>
      <c r="L56" s="502" t="str">
        <f>_xlfn.XLOOKUP($A56,'Physical Condition Assessment'!$U:$U,'Physical Condition Assessment'!$V:$V,"missing",0)</f>
        <v>HVAC</v>
      </c>
      <c r="M56" s="469" t="str">
        <f>_xlfn.XLOOKUP($A56,'Physical Condition Assessment'!$U:$U,'Physical Condition Assessment'!$AE:$AE,"!!!!!",0)</f>
        <v>SF</v>
      </c>
      <c r="N56" s="471">
        <f>_xlfn.XLOOKUP($A56,'Physical Condition Assessment'!$U:$U,'Physical Condition Assessment'!$AP:$AP,"!!!!!",0)</f>
        <v>0</v>
      </c>
      <c r="O56" s="526">
        <f t="shared" si="0"/>
        <v>0</v>
      </c>
      <c r="P56" s="502" t="str">
        <f t="shared" si="1"/>
        <v>Green</v>
      </c>
      <c r="R56" s="502" t="str">
        <f t="shared" si="2"/>
        <v/>
      </c>
      <c r="S56" s="502" t="str">
        <f t="shared" si="3"/>
        <v/>
      </c>
      <c r="T56" s="95" t="s">
        <v>600</v>
      </c>
      <c r="U56" s="95" t="s">
        <v>609</v>
      </c>
      <c r="V56" s="95" t="s">
        <v>610</v>
      </c>
      <c r="W56" s="95" t="s">
        <v>603</v>
      </c>
      <c r="Z56" s="95" t="s">
        <v>604</v>
      </c>
      <c r="AA56" s="95" t="s">
        <v>611</v>
      </c>
    </row>
    <row r="57" spans="1:28" x14ac:dyDescent="0.2">
      <c r="A57" s="502" t="s">
        <v>267</v>
      </c>
      <c r="B57" s="469">
        <f>_xlfn.XLOOKUP($A57,'Physical Condition Assessment'!$U:$U,'Physical Condition Assessment'!$E:$E,"!!!!!",0)</f>
        <v>0</v>
      </c>
      <c r="C57" s="469">
        <f>_xlfn.XLOOKUP($A57,'Physical Condition Assessment'!$U:$U,'Physical Condition Assessment'!$F:$F,"!!!!!",0)</f>
        <v>0</v>
      </c>
      <c r="D57" s="469">
        <f>_xlfn.XLOOKUP($A57,'Physical Condition Assessment'!$U:$U,'Physical Condition Assessment'!$H:$H,"!!!!!",0)</f>
        <v>0</v>
      </c>
      <c r="E57" s="469">
        <f>_xlfn.XLOOKUP($A57,'Physical Condition Assessment'!$U:$U,'Physical Condition Assessment'!$J:$J,"!!!!!",0)</f>
        <v>0</v>
      </c>
      <c r="F57" s="469">
        <f>_xlfn.XLOOKUP($A57,'Physical Condition Assessment'!$U:$U,'Physical Condition Assessment'!$L:$L,"!!!!!",0)</f>
        <v>0</v>
      </c>
      <c r="G57" s="469">
        <f>_xlfn.XLOOKUP($A57,'Physical Condition Assessment'!$U:$U,'Physical Condition Assessment'!$N:$N,"!!!!!",0)</f>
        <v>0</v>
      </c>
      <c r="H57" s="469">
        <f>_xlfn.XLOOKUP($A57,'Physical Condition Assessment'!$U:$U,'Physical Condition Assessment'!$P:$P,"!!!!!",0)</f>
        <v>0</v>
      </c>
      <c r="I57" s="525">
        <f>_xlfn.XLOOKUP($A57,'Physical Condition Assessment'!$U:$U,'Physical Condition Assessment'!$R:$R,"!!!!!",0)</f>
        <v>0</v>
      </c>
      <c r="J57" s="471">
        <f>_xlfn.XLOOKUP($A57,'Physical Condition Assessment'!$U:$U,'Physical Condition Assessment'!$S:$S,"!!!!!",0)</f>
        <v>0</v>
      </c>
      <c r="K57" s="469">
        <f>_xlfn.XLOOKUP($A57,'Physical Condition Assessment'!$U:$U,'Physical Condition Assessment'!$T:$T,"!!!!!",0)</f>
        <v>0</v>
      </c>
      <c r="L57" s="502" t="str">
        <f>_xlfn.XLOOKUP($A57,'Physical Condition Assessment'!$U:$U,'Physical Condition Assessment'!$V:$V,"missing",0)</f>
        <v>HVAC</v>
      </c>
      <c r="M57" s="469" t="str">
        <f>_xlfn.XLOOKUP($A57,'Physical Condition Assessment'!$U:$U,'Physical Condition Assessment'!$AE:$AE,"!!!!!",0)</f>
        <v>SF</v>
      </c>
      <c r="N57" s="471">
        <f>_xlfn.XLOOKUP($A57,'Physical Condition Assessment'!$U:$U,'Physical Condition Assessment'!$AP:$AP,"!!!!!",0)</f>
        <v>0</v>
      </c>
      <c r="O57" s="526">
        <f t="shared" si="0"/>
        <v>0</v>
      </c>
      <c r="P57" s="502" t="str">
        <f t="shared" si="1"/>
        <v>Green</v>
      </c>
      <c r="R57" s="502" t="str">
        <f t="shared" si="2"/>
        <v/>
      </c>
      <c r="S57" s="502" t="str">
        <f t="shared" si="3"/>
        <v/>
      </c>
      <c r="T57" s="95" t="s">
        <v>600</v>
      </c>
      <c r="U57" s="95" t="s">
        <v>612</v>
      </c>
      <c r="V57" s="95" t="s">
        <v>613</v>
      </c>
      <c r="W57" s="95" t="s">
        <v>603</v>
      </c>
      <c r="Z57" s="95" t="s">
        <v>604</v>
      </c>
      <c r="AA57" s="95" t="s">
        <v>614</v>
      </c>
    </row>
    <row r="58" spans="1:28" x14ac:dyDescent="0.2">
      <c r="A58" s="502" t="s">
        <v>270</v>
      </c>
      <c r="B58" s="469">
        <f>_xlfn.XLOOKUP($A58,'Physical Condition Assessment'!$U:$U,'Physical Condition Assessment'!$E:$E,"!!!!!",0)</f>
        <v>0</v>
      </c>
      <c r="C58" s="469">
        <f>_xlfn.XLOOKUP($A58,'Physical Condition Assessment'!$U:$U,'Physical Condition Assessment'!$F:$F,"!!!!!",0)</f>
        <v>0</v>
      </c>
      <c r="D58" s="469">
        <f>_xlfn.XLOOKUP($A58,'Physical Condition Assessment'!$U:$U,'Physical Condition Assessment'!$H:$H,"!!!!!",0)</f>
        <v>0</v>
      </c>
      <c r="E58" s="469">
        <f>_xlfn.XLOOKUP($A58,'Physical Condition Assessment'!$U:$U,'Physical Condition Assessment'!$J:$J,"!!!!!",0)</f>
        <v>0</v>
      </c>
      <c r="F58" s="469">
        <f>_xlfn.XLOOKUP($A58,'Physical Condition Assessment'!$U:$U,'Physical Condition Assessment'!$L:$L,"!!!!!",0)</f>
        <v>0</v>
      </c>
      <c r="G58" s="469">
        <f>_xlfn.XLOOKUP($A58,'Physical Condition Assessment'!$U:$U,'Physical Condition Assessment'!$N:$N,"!!!!!",0)</f>
        <v>0</v>
      </c>
      <c r="H58" s="469">
        <f>_xlfn.XLOOKUP($A58,'Physical Condition Assessment'!$U:$U,'Physical Condition Assessment'!$P:$P,"!!!!!",0)</f>
        <v>0</v>
      </c>
      <c r="I58" s="525">
        <f>_xlfn.XLOOKUP($A58,'Physical Condition Assessment'!$U:$U,'Physical Condition Assessment'!$R:$R,"!!!!!",0)</f>
        <v>0</v>
      </c>
      <c r="J58" s="471">
        <f>_xlfn.XLOOKUP($A58,'Physical Condition Assessment'!$U:$U,'Physical Condition Assessment'!$S:$S,"!!!!!",0)</f>
        <v>0</v>
      </c>
      <c r="K58" s="469">
        <f>_xlfn.XLOOKUP($A58,'Physical Condition Assessment'!$U:$U,'Physical Condition Assessment'!$T:$T,"!!!!!",0)</f>
        <v>0</v>
      </c>
      <c r="L58" s="502" t="str">
        <f>_xlfn.XLOOKUP($A58,'Physical Condition Assessment'!$U:$U,'Physical Condition Assessment'!$V:$V,"missing",0)</f>
        <v>HVAC</v>
      </c>
      <c r="M58" s="469" t="str">
        <f>_xlfn.XLOOKUP($A58,'Physical Condition Assessment'!$U:$U,'Physical Condition Assessment'!$AE:$AE,"!!!!!",0)</f>
        <v>SF</v>
      </c>
      <c r="N58" s="471">
        <f>_xlfn.XLOOKUP($A58,'Physical Condition Assessment'!$U:$U,'Physical Condition Assessment'!$AP:$AP,"!!!!!",0)</f>
        <v>0</v>
      </c>
      <c r="O58" s="526">
        <f t="shared" si="0"/>
        <v>0</v>
      </c>
      <c r="P58" s="502" t="str">
        <f t="shared" si="1"/>
        <v>Green</v>
      </c>
      <c r="R58" s="502" t="str">
        <f t="shared" si="2"/>
        <v/>
      </c>
      <c r="S58" s="502" t="str">
        <f t="shared" si="3"/>
        <v/>
      </c>
      <c r="T58" s="95" t="s">
        <v>615</v>
      </c>
      <c r="U58" s="95" t="s">
        <v>616</v>
      </c>
      <c r="V58" s="95" t="s">
        <v>617</v>
      </c>
      <c r="W58" s="95" t="s">
        <v>618</v>
      </c>
      <c r="Z58" s="95" t="s">
        <v>604</v>
      </c>
      <c r="AA58" s="95" t="s">
        <v>619</v>
      </c>
    </row>
    <row r="59" spans="1:28" x14ac:dyDescent="0.2">
      <c r="A59" s="502" t="s">
        <v>272</v>
      </c>
      <c r="B59" s="469">
        <f>_xlfn.XLOOKUP($A59,'Physical Condition Assessment'!$U:$U,'Physical Condition Assessment'!$E:$E,"!!!!!",0)</f>
        <v>0</v>
      </c>
      <c r="C59" s="469">
        <f>_xlfn.XLOOKUP($A59,'Physical Condition Assessment'!$U:$U,'Physical Condition Assessment'!$F:$F,"!!!!!",0)</f>
        <v>0</v>
      </c>
      <c r="D59" s="469">
        <f>_xlfn.XLOOKUP($A59,'Physical Condition Assessment'!$U:$U,'Physical Condition Assessment'!$H:$H,"!!!!!",0)</f>
        <v>0</v>
      </c>
      <c r="E59" s="469">
        <f>_xlfn.XLOOKUP($A59,'Physical Condition Assessment'!$U:$U,'Physical Condition Assessment'!$J:$J,"!!!!!",0)</f>
        <v>0</v>
      </c>
      <c r="F59" s="469">
        <f>_xlfn.XLOOKUP($A59,'Physical Condition Assessment'!$U:$U,'Physical Condition Assessment'!$L:$L,"!!!!!",0)</f>
        <v>0</v>
      </c>
      <c r="G59" s="469">
        <f>_xlfn.XLOOKUP($A59,'Physical Condition Assessment'!$U:$U,'Physical Condition Assessment'!$N:$N,"!!!!!",0)</f>
        <v>0</v>
      </c>
      <c r="H59" s="469">
        <f>_xlfn.XLOOKUP($A59,'Physical Condition Assessment'!$U:$U,'Physical Condition Assessment'!$P:$P,"!!!!!",0)</f>
        <v>0</v>
      </c>
      <c r="I59" s="525">
        <f>_xlfn.XLOOKUP($A59,'Physical Condition Assessment'!$U:$U,'Physical Condition Assessment'!$R:$R,"!!!!!",0)</f>
        <v>0</v>
      </c>
      <c r="J59" s="471">
        <f>_xlfn.XLOOKUP($A59,'Physical Condition Assessment'!$U:$U,'Physical Condition Assessment'!$S:$S,"!!!!!",0)</f>
        <v>0</v>
      </c>
      <c r="K59" s="469">
        <f>_xlfn.XLOOKUP($A59,'Physical Condition Assessment'!$U:$U,'Physical Condition Assessment'!$T:$T,"!!!!!",0)</f>
        <v>0</v>
      </c>
      <c r="L59" s="502" t="str">
        <f>_xlfn.XLOOKUP($A59,'Physical Condition Assessment'!$U:$U,'Physical Condition Assessment'!$V:$V,"missing",0)</f>
        <v>HVAC</v>
      </c>
      <c r="M59" s="469" t="str">
        <f>_xlfn.XLOOKUP($A59,'Physical Condition Assessment'!$U:$U,'Physical Condition Assessment'!$AE:$AE,"!!!!!",0)</f>
        <v>SF</v>
      </c>
      <c r="N59" s="471">
        <f>_xlfn.XLOOKUP($A59,'Physical Condition Assessment'!$U:$U,'Physical Condition Assessment'!$AP:$AP,"!!!!!",0)</f>
        <v>0</v>
      </c>
      <c r="O59" s="526">
        <f t="shared" si="0"/>
        <v>0</v>
      </c>
      <c r="P59" s="502" t="str">
        <f t="shared" si="1"/>
        <v>Green</v>
      </c>
      <c r="R59" s="502" t="str">
        <f t="shared" si="2"/>
        <v/>
      </c>
      <c r="S59" s="502" t="str">
        <f t="shared" si="3"/>
        <v/>
      </c>
      <c r="T59" s="95" t="s">
        <v>615</v>
      </c>
      <c r="U59" s="95" t="s">
        <v>620</v>
      </c>
      <c r="V59" s="95" t="s">
        <v>621</v>
      </c>
      <c r="W59" s="95" t="s">
        <v>618</v>
      </c>
      <c r="Z59" s="95" t="s">
        <v>604</v>
      </c>
      <c r="AA59" s="95" t="s">
        <v>271</v>
      </c>
      <c r="AB59" s="95" t="s">
        <v>622</v>
      </c>
    </row>
    <row r="60" spans="1:28" x14ac:dyDescent="0.2">
      <c r="A60" s="502" t="s">
        <v>275</v>
      </c>
      <c r="B60" s="469">
        <f>_xlfn.XLOOKUP($A60,'Physical Condition Assessment'!$U:$U,'Physical Condition Assessment'!$E:$E,"!!!!!",0)</f>
        <v>0</v>
      </c>
      <c r="C60" s="469">
        <f>_xlfn.XLOOKUP($A60,'Physical Condition Assessment'!$U:$U,'Physical Condition Assessment'!$F:$F,"!!!!!",0)</f>
        <v>0</v>
      </c>
      <c r="D60" s="469">
        <f>_xlfn.XLOOKUP($A60,'Physical Condition Assessment'!$U:$U,'Physical Condition Assessment'!$H:$H,"!!!!!",0)</f>
        <v>0</v>
      </c>
      <c r="E60" s="469">
        <f>_xlfn.XLOOKUP($A60,'Physical Condition Assessment'!$U:$U,'Physical Condition Assessment'!$J:$J,"!!!!!",0)</f>
        <v>0</v>
      </c>
      <c r="F60" s="469">
        <f>_xlfn.XLOOKUP($A60,'Physical Condition Assessment'!$U:$U,'Physical Condition Assessment'!$L:$L,"!!!!!",0)</f>
        <v>0</v>
      </c>
      <c r="G60" s="469">
        <f>_xlfn.XLOOKUP($A60,'Physical Condition Assessment'!$U:$U,'Physical Condition Assessment'!$N:$N,"!!!!!",0)</f>
        <v>0</v>
      </c>
      <c r="H60" s="469">
        <f>_xlfn.XLOOKUP($A60,'Physical Condition Assessment'!$U:$U,'Physical Condition Assessment'!$P:$P,"!!!!!",0)</f>
        <v>0</v>
      </c>
      <c r="I60" s="525">
        <f>_xlfn.XLOOKUP($A60,'Physical Condition Assessment'!$U:$U,'Physical Condition Assessment'!$R:$R,"!!!!!",0)</f>
        <v>0</v>
      </c>
      <c r="J60" s="471">
        <f>_xlfn.XLOOKUP($A60,'Physical Condition Assessment'!$U:$U,'Physical Condition Assessment'!$S:$S,"!!!!!",0)</f>
        <v>0</v>
      </c>
      <c r="K60" s="469">
        <f>_xlfn.XLOOKUP($A60,'Physical Condition Assessment'!$U:$U,'Physical Condition Assessment'!$T:$T,"!!!!!",0)</f>
        <v>0</v>
      </c>
      <c r="L60" s="502" t="str">
        <f>_xlfn.XLOOKUP($A60,'Physical Condition Assessment'!$U:$U,'Physical Condition Assessment'!$V:$V,"missing",0)</f>
        <v>HVAC</v>
      </c>
      <c r="M60" s="469" t="str">
        <f>_xlfn.XLOOKUP($A60,'Physical Condition Assessment'!$U:$U,'Physical Condition Assessment'!$AE:$AE,"!!!!!",0)</f>
        <v>SF</v>
      </c>
      <c r="N60" s="471">
        <f>_xlfn.XLOOKUP($A60,'Physical Condition Assessment'!$U:$U,'Physical Condition Assessment'!$AP:$AP,"!!!!!",0)</f>
        <v>0</v>
      </c>
      <c r="O60" s="526">
        <f t="shared" si="0"/>
        <v>0</v>
      </c>
      <c r="P60" s="502" t="str">
        <f t="shared" si="1"/>
        <v>Green</v>
      </c>
      <c r="R60" s="502" t="str">
        <f t="shared" si="2"/>
        <v/>
      </c>
      <c r="S60" s="502" t="str">
        <f t="shared" si="3"/>
        <v/>
      </c>
      <c r="T60" s="95" t="s">
        <v>623</v>
      </c>
      <c r="U60" s="95" t="s">
        <v>624</v>
      </c>
      <c r="V60" s="95" t="s">
        <v>625</v>
      </c>
      <c r="W60" s="95" t="s">
        <v>455</v>
      </c>
      <c r="X60" s="95" t="s">
        <v>604</v>
      </c>
      <c r="Y60" s="95" t="s">
        <v>274</v>
      </c>
    </row>
    <row r="61" spans="1:28" x14ac:dyDescent="0.2">
      <c r="A61" s="502" t="s">
        <v>277</v>
      </c>
      <c r="B61" s="469">
        <f>_xlfn.XLOOKUP($A61,'Physical Condition Assessment'!$U:$U,'Physical Condition Assessment'!$E:$E,"!!!!!",0)</f>
        <v>0</v>
      </c>
      <c r="C61" s="469">
        <f>_xlfn.XLOOKUP($A61,'Physical Condition Assessment'!$U:$U,'Physical Condition Assessment'!$F:$F,"!!!!!",0)</f>
        <v>0</v>
      </c>
      <c r="D61" s="469">
        <f>_xlfn.XLOOKUP($A61,'Physical Condition Assessment'!$U:$U,'Physical Condition Assessment'!$H:$H,"!!!!!",0)</f>
        <v>0</v>
      </c>
      <c r="E61" s="469">
        <f>_xlfn.XLOOKUP($A61,'Physical Condition Assessment'!$U:$U,'Physical Condition Assessment'!$J:$J,"!!!!!",0)</f>
        <v>0</v>
      </c>
      <c r="F61" s="469">
        <f>_xlfn.XLOOKUP($A61,'Physical Condition Assessment'!$U:$U,'Physical Condition Assessment'!$L:$L,"!!!!!",0)</f>
        <v>0</v>
      </c>
      <c r="G61" s="469">
        <f>_xlfn.XLOOKUP($A61,'Physical Condition Assessment'!$U:$U,'Physical Condition Assessment'!$N:$N,"!!!!!",0)</f>
        <v>0</v>
      </c>
      <c r="H61" s="469">
        <f>_xlfn.XLOOKUP($A61,'Physical Condition Assessment'!$U:$U,'Physical Condition Assessment'!$P:$P,"!!!!!",0)</f>
        <v>0</v>
      </c>
      <c r="I61" s="525">
        <f>_xlfn.XLOOKUP($A61,'Physical Condition Assessment'!$U:$U,'Physical Condition Assessment'!$R:$R,"!!!!!",0)</f>
        <v>0</v>
      </c>
      <c r="J61" s="471">
        <f>_xlfn.XLOOKUP($A61,'Physical Condition Assessment'!$U:$U,'Physical Condition Assessment'!$S:$S,"!!!!!",0)</f>
        <v>0</v>
      </c>
      <c r="K61" s="469">
        <f>_xlfn.XLOOKUP($A61,'Physical Condition Assessment'!$U:$U,'Physical Condition Assessment'!$T:$T,"!!!!!",0)</f>
        <v>0</v>
      </c>
      <c r="L61" s="502" t="str">
        <f>_xlfn.XLOOKUP($A61,'Physical Condition Assessment'!$U:$U,'Physical Condition Assessment'!$V:$V,"missing",0)</f>
        <v>HVAC</v>
      </c>
      <c r="M61" s="469" t="str">
        <f>_xlfn.XLOOKUP($A61,'Physical Condition Assessment'!$U:$U,'Physical Condition Assessment'!$AE:$AE,"!!!!!",0)</f>
        <v>SF</v>
      </c>
      <c r="N61" s="471">
        <f>_xlfn.XLOOKUP($A61,'Physical Condition Assessment'!$U:$U,'Physical Condition Assessment'!$AP:$AP,"!!!!!",0)</f>
        <v>0</v>
      </c>
      <c r="O61" s="526">
        <f t="shared" si="0"/>
        <v>0</v>
      </c>
      <c r="P61" s="502" t="str">
        <f t="shared" si="1"/>
        <v>Green</v>
      </c>
      <c r="R61" s="502" t="str">
        <f t="shared" si="2"/>
        <v/>
      </c>
      <c r="S61" s="502" t="str">
        <f t="shared" si="3"/>
        <v/>
      </c>
      <c r="T61" s="95" t="s">
        <v>623</v>
      </c>
      <c r="U61" s="95" t="s">
        <v>626</v>
      </c>
      <c r="V61" s="95" t="s">
        <v>627</v>
      </c>
      <c r="W61" s="95" t="s">
        <v>455</v>
      </c>
      <c r="X61" s="95" t="s">
        <v>604</v>
      </c>
      <c r="Y61" s="95" t="s">
        <v>628</v>
      </c>
      <c r="Z61" s="95" t="s">
        <v>629</v>
      </c>
    </row>
    <row r="62" spans="1:28" x14ac:dyDescent="0.2">
      <c r="A62" s="502" t="s">
        <v>280</v>
      </c>
      <c r="B62" s="469">
        <f>_xlfn.XLOOKUP($A62,'Physical Condition Assessment'!$U:$U,'Physical Condition Assessment'!$E:$E,"!!!!!",0)</f>
        <v>0</v>
      </c>
      <c r="C62" s="469">
        <f>_xlfn.XLOOKUP($A62,'Physical Condition Assessment'!$U:$U,'Physical Condition Assessment'!$F:$F,"!!!!!",0)</f>
        <v>0</v>
      </c>
      <c r="D62" s="469">
        <f>_xlfn.XLOOKUP($A62,'Physical Condition Assessment'!$U:$U,'Physical Condition Assessment'!$H:$H,"!!!!!",0)</f>
        <v>0</v>
      </c>
      <c r="E62" s="469">
        <f>_xlfn.XLOOKUP($A62,'Physical Condition Assessment'!$U:$U,'Physical Condition Assessment'!$J:$J,"!!!!!",0)</f>
        <v>0</v>
      </c>
      <c r="F62" s="469">
        <f>_xlfn.XLOOKUP($A62,'Physical Condition Assessment'!$U:$U,'Physical Condition Assessment'!$L:$L,"!!!!!",0)</f>
        <v>0</v>
      </c>
      <c r="G62" s="469">
        <f>_xlfn.XLOOKUP($A62,'Physical Condition Assessment'!$U:$U,'Physical Condition Assessment'!$N:$N,"!!!!!",0)</f>
        <v>0</v>
      </c>
      <c r="H62" s="469">
        <f>_xlfn.XLOOKUP($A62,'Physical Condition Assessment'!$U:$U,'Physical Condition Assessment'!$P:$P,"!!!!!",0)</f>
        <v>0</v>
      </c>
      <c r="I62" s="525">
        <f>_xlfn.XLOOKUP($A62,'Physical Condition Assessment'!$U:$U,'Physical Condition Assessment'!$R:$R,"!!!!!",0)</f>
        <v>0</v>
      </c>
      <c r="J62" s="471">
        <f>_xlfn.XLOOKUP($A62,'Physical Condition Assessment'!$U:$U,'Physical Condition Assessment'!$S:$S,"!!!!!",0)</f>
        <v>0</v>
      </c>
      <c r="K62" s="469">
        <f>_xlfn.XLOOKUP($A62,'Physical Condition Assessment'!$U:$U,'Physical Condition Assessment'!$T:$T,"!!!!!",0)</f>
        <v>0</v>
      </c>
      <c r="L62" s="502" t="str">
        <f>_xlfn.XLOOKUP($A62,'Physical Condition Assessment'!$U:$U,'Physical Condition Assessment'!$V:$V,"missing",0)</f>
        <v>HVAC</v>
      </c>
      <c r="M62" s="469" t="str">
        <f>_xlfn.XLOOKUP($A62,'Physical Condition Assessment'!$U:$U,'Physical Condition Assessment'!$AE:$AE,"!!!!!",0)</f>
        <v>SF</v>
      </c>
      <c r="N62" s="471">
        <f>_xlfn.XLOOKUP($A62,'Physical Condition Assessment'!$U:$U,'Physical Condition Assessment'!$AP:$AP,"!!!!!",0)</f>
        <v>0</v>
      </c>
      <c r="O62" s="526">
        <f t="shared" si="0"/>
        <v>0</v>
      </c>
      <c r="P62" s="502" t="str">
        <f t="shared" si="1"/>
        <v>Green</v>
      </c>
      <c r="R62" s="502" t="str">
        <f t="shared" si="2"/>
        <v/>
      </c>
      <c r="S62" s="502" t="str">
        <f t="shared" si="3"/>
        <v/>
      </c>
      <c r="T62" s="95" t="s">
        <v>630</v>
      </c>
      <c r="U62" s="95" t="s">
        <v>631</v>
      </c>
      <c r="V62" s="95" t="s">
        <v>632</v>
      </c>
      <c r="W62" s="95" t="s">
        <v>633</v>
      </c>
      <c r="X62" s="95" t="s">
        <v>634</v>
      </c>
      <c r="Y62" s="95" t="s">
        <v>635</v>
      </c>
      <c r="Z62" s="95" t="s">
        <v>636</v>
      </c>
    </row>
    <row r="63" spans="1:28" x14ac:dyDescent="0.2">
      <c r="A63" s="502" t="s">
        <v>284</v>
      </c>
      <c r="B63" s="469">
        <f>_xlfn.XLOOKUP($A63,'Physical Condition Assessment'!$U:$U,'Physical Condition Assessment'!$E:$E,"!!!!!",0)</f>
        <v>0</v>
      </c>
      <c r="C63" s="469">
        <f>_xlfn.XLOOKUP($A63,'Physical Condition Assessment'!$U:$U,'Physical Condition Assessment'!$F:$F,"!!!!!",0)</f>
        <v>0</v>
      </c>
      <c r="D63" s="469">
        <f>_xlfn.XLOOKUP($A63,'Physical Condition Assessment'!$U:$U,'Physical Condition Assessment'!$H:$H,"!!!!!",0)</f>
        <v>0</v>
      </c>
      <c r="E63" s="469">
        <f>_xlfn.XLOOKUP($A63,'Physical Condition Assessment'!$U:$U,'Physical Condition Assessment'!$J:$J,"!!!!!",0)</f>
        <v>0</v>
      </c>
      <c r="F63" s="469">
        <f>_xlfn.XLOOKUP($A63,'Physical Condition Assessment'!$U:$U,'Physical Condition Assessment'!$L:$L,"!!!!!",0)</f>
        <v>0</v>
      </c>
      <c r="G63" s="469">
        <f>_xlfn.XLOOKUP($A63,'Physical Condition Assessment'!$U:$U,'Physical Condition Assessment'!$N:$N,"!!!!!",0)</f>
        <v>0</v>
      </c>
      <c r="H63" s="469">
        <f>_xlfn.XLOOKUP($A63,'Physical Condition Assessment'!$U:$U,'Physical Condition Assessment'!$P:$P,"!!!!!",0)</f>
        <v>0</v>
      </c>
      <c r="I63" s="525">
        <f>_xlfn.XLOOKUP($A63,'Physical Condition Assessment'!$U:$U,'Physical Condition Assessment'!$R:$R,"!!!!!",0)</f>
        <v>0</v>
      </c>
      <c r="J63" s="471">
        <f>_xlfn.XLOOKUP($A63,'Physical Condition Assessment'!$U:$U,'Physical Condition Assessment'!$S:$S,"!!!!!",0)</f>
        <v>0</v>
      </c>
      <c r="K63" s="469">
        <f>_xlfn.XLOOKUP($A63,'Physical Condition Assessment'!$U:$U,'Physical Condition Assessment'!$T:$T,"!!!!!",0)</f>
        <v>0</v>
      </c>
      <c r="L63" s="502" t="str">
        <f>_xlfn.XLOOKUP($A63,'Physical Condition Assessment'!$U:$U,'Physical Condition Assessment'!$V:$V,"missing",0)</f>
        <v>HVAC</v>
      </c>
      <c r="M63" s="469" t="str">
        <f>_xlfn.XLOOKUP($A63,'Physical Condition Assessment'!$U:$U,'Physical Condition Assessment'!$AE:$AE,"!!!!!",0)</f>
        <v>SF</v>
      </c>
      <c r="N63" s="471">
        <f>_xlfn.XLOOKUP($A63,'Physical Condition Assessment'!$U:$U,'Physical Condition Assessment'!$AP:$AP,"!!!!!",0)</f>
        <v>0</v>
      </c>
      <c r="O63" s="526">
        <f t="shared" si="0"/>
        <v>0</v>
      </c>
      <c r="P63" s="502" t="str">
        <f t="shared" si="1"/>
        <v>Green</v>
      </c>
      <c r="R63" s="502" t="str">
        <f t="shared" si="2"/>
        <v/>
      </c>
      <c r="S63" s="502" t="str">
        <f t="shared" si="3"/>
        <v/>
      </c>
      <c r="T63" s="95" t="s">
        <v>630</v>
      </c>
      <c r="U63" s="95" t="s">
        <v>637</v>
      </c>
      <c r="V63" s="95" t="s">
        <v>638</v>
      </c>
      <c r="W63" s="95" t="s">
        <v>633</v>
      </c>
      <c r="X63" s="95" t="s">
        <v>639</v>
      </c>
      <c r="Y63" s="95" t="s">
        <v>640</v>
      </c>
      <c r="Z63" s="95" t="s">
        <v>636</v>
      </c>
    </row>
    <row r="64" spans="1:28" x14ac:dyDescent="0.2">
      <c r="A64" s="502" t="s">
        <v>282</v>
      </c>
      <c r="B64" s="469">
        <f>_xlfn.XLOOKUP($A64,'Physical Condition Assessment'!$U:$U,'Physical Condition Assessment'!$E:$E,"!!!!!",0)</f>
        <v>0</v>
      </c>
      <c r="C64" s="469">
        <f>_xlfn.XLOOKUP($A64,'Physical Condition Assessment'!$U:$U,'Physical Condition Assessment'!$F:$F,"!!!!!",0)</f>
        <v>0</v>
      </c>
      <c r="D64" s="469">
        <f>_xlfn.XLOOKUP($A64,'Physical Condition Assessment'!$U:$U,'Physical Condition Assessment'!$H:$H,"!!!!!",0)</f>
        <v>0</v>
      </c>
      <c r="E64" s="469">
        <f>_xlfn.XLOOKUP($A64,'Physical Condition Assessment'!$U:$U,'Physical Condition Assessment'!$J:$J,"!!!!!",0)</f>
        <v>0</v>
      </c>
      <c r="F64" s="469">
        <f>_xlfn.XLOOKUP($A64,'Physical Condition Assessment'!$U:$U,'Physical Condition Assessment'!$L:$L,"!!!!!",0)</f>
        <v>0</v>
      </c>
      <c r="G64" s="469">
        <f>_xlfn.XLOOKUP($A64,'Physical Condition Assessment'!$U:$U,'Physical Condition Assessment'!$N:$N,"!!!!!",0)</f>
        <v>0</v>
      </c>
      <c r="H64" s="469">
        <f>_xlfn.XLOOKUP($A64,'Physical Condition Assessment'!$U:$U,'Physical Condition Assessment'!$P:$P,"!!!!!",0)</f>
        <v>0</v>
      </c>
      <c r="I64" s="525">
        <f>_xlfn.XLOOKUP($A64,'Physical Condition Assessment'!$U:$U,'Physical Condition Assessment'!$R:$R,"!!!!!",0)</f>
        <v>0</v>
      </c>
      <c r="J64" s="471">
        <f>_xlfn.XLOOKUP($A64,'Physical Condition Assessment'!$U:$U,'Physical Condition Assessment'!$S:$S,"!!!!!",0)</f>
        <v>0</v>
      </c>
      <c r="K64" s="469">
        <f>_xlfn.XLOOKUP($A64,'Physical Condition Assessment'!$U:$U,'Physical Condition Assessment'!$T:$T,"!!!!!",0)</f>
        <v>0</v>
      </c>
      <c r="L64" s="502" t="str">
        <f>_xlfn.XLOOKUP($A64,'Physical Condition Assessment'!$U:$U,'Physical Condition Assessment'!$V:$V,"missing",0)</f>
        <v>HVAC</v>
      </c>
      <c r="M64" s="469" t="str">
        <f>_xlfn.XLOOKUP($A64,'Physical Condition Assessment'!$U:$U,'Physical Condition Assessment'!$AE:$AE,"!!!!!",0)</f>
        <v>SF</v>
      </c>
      <c r="N64" s="471">
        <f>_xlfn.XLOOKUP($A64,'Physical Condition Assessment'!$U:$U,'Physical Condition Assessment'!$AP:$AP,"!!!!!",0)</f>
        <v>0</v>
      </c>
      <c r="O64" s="526">
        <f t="shared" si="0"/>
        <v>0</v>
      </c>
      <c r="P64" s="502" t="str">
        <f t="shared" si="1"/>
        <v>Green</v>
      </c>
      <c r="R64" s="502" t="str">
        <f t="shared" si="2"/>
        <v/>
      </c>
      <c r="S64" s="502" t="str">
        <f t="shared" si="3"/>
        <v/>
      </c>
      <c r="T64" s="95" t="s">
        <v>630</v>
      </c>
      <c r="U64" s="95" t="s">
        <v>641</v>
      </c>
      <c r="V64" s="95" t="s">
        <v>642</v>
      </c>
      <c r="W64" s="95" t="s">
        <v>633</v>
      </c>
      <c r="X64" s="95" t="s">
        <v>643</v>
      </c>
      <c r="Y64" s="95" t="s">
        <v>640</v>
      </c>
      <c r="Z64" s="95" t="s">
        <v>636</v>
      </c>
    </row>
    <row r="65" spans="1:26" x14ac:dyDescent="0.2">
      <c r="A65" s="502" t="s">
        <v>286</v>
      </c>
      <c r="B65" s="469">
        <f>_xlfn.XLOOKUP($A65,'Physical Condition Assessment'!$U:$U,'Physical Condition Assessment'!$E:$E,"!!!!!",0)</f>
        <v>0</v>
      </c>
      <c r="C65" s="469">
        <f>_xlfn.XLOOKUP($A65,'Physical Condition Assessment'!$U:$U,'Physical Condition Assessment'!$F:$F,"!!!!!",0)</f>
        <v>0</v>
      </c>
      <c r="D65" s="469">
        <f>_xlfn.XLOOKUP($A65,'Physical Condition Assessment'!$U:$U,'Physical Condition Assessment'!$H:$H,"!!!!!",0)</f>
        <v>0</v>
      </c>
      <c r="E65" s="469">
        <f>_xlfn.XLOOKUP($A65,'Physical Condition Assessment'!$U:$U,'Physical Condition Assessment'!$J:$J,"!!!!!",0)</f>
        <v>0</v>
      </c>
      <c r="F65" s="469">
        <f>_xlfn.XLOOKUP($A65,'Physical Condition Assessment'!$U:$U,'Physical Condition Assessment'!$L:$L,"!!!!!",0)</f>
        <v>0</v>
      </c>
      <c r="G65" s="469">
        <f>_xlfn.XLOOKUP($A65,'Physical Condition Assessment'!$U:$U,'Physical Condition Assessment'!$N:$N,"!!!!!",0)</f>
        <v>0</v>
      </c>
      <c r="H65" s="469">
        <f>_xlfn.XLOOKUP($A65,'Physical Condition Assessment'!$U:$U,'Physical Condition Assessment'!$P:$P,"!!!!!",0)</f>
        <v>0</v>
      </c>
      <c r="I65" s="525">
        <f>_xlfn.XLOOKUP($A65,'Physical Condition Assessment'!$U:$U,'Physical Condition Assessment'!$R:$R,"!!!!!",0)</f>
        <v>0</v>
      </c>
      <c r="J65" s="471">
        <f>_xlfn.XLOOKUP($A65,'Physical Condition Assessment'!$U:$U,'Physical Condition Assessment'!$S:$S,"!!!!!",0)</f>
        <v>0</v>
      </c>
      <c r="K65" s="469">
        <f>_xlfn.XLOOKUP($A65,'Physical Condition Assessment'!$U:$U,'Physical Condition Assessment'!$T:$T,"!!!!!",0)</f>
        <v>0</v>
      </c>
      <c r="L65" s="502" t="str">
        <f>_xlfn.XLOOKUP($A65,'Physical Condition Assessment'!$U:$U,'Physical Condition Assessment'!$V:$V,"missing",0)</f>
        <v>HVAC</v>
      </c>
      <c r="M65" s="469" t="str">
        <f>_xlfn.XLOOKUP($A65,'Physical Condition Assessment'!$U:$U,'Physical Condition Assessment'!$AE:$AE,"!!!!!",0)</f>
        <v>SF</v>
      </c>
      <c r="N65" s="471">
        <f>_xlfn.XLOOKUP($A65,'Physical Condition Assessment'!$U:$U,'Physical Condition Assessment'!$AP:$AP,"!!!!!",0)</f>
        <v>0</v>
      </c>
      <c r="O65" s="526">
        <f t="shared" si="0"/>
        <v>0</v>
      </c>
      <c r="P65" s="502" t="str">
        <f t="shared" si="1"/>
        <v>Green</v>
      </c>
      <c r="R65" s="502" t="str">
        <f t="shared" si="2"/>
        <v/>
      </c>
      <c r="S65" s="502" t="str">
        <f t="shared" si="3"/>
        <v/>
      </c>
      <c r="T65" s="95" t="s">
        <v>644</v>
      </c>
      <c r="U65" s="95" t="s">
        <v>645</v>
      </c>
      <c r="V65" s="95" t="s">
        <v>646</v>
      </c>
      <c r="W65" s="95" t="s">
        <v>647</v>
      </c>
      <c r="Z65" s="95" t="s">
        <v>648</v>
      </c>
    </row>
    <row r="66" spans="1:26" x14ac:dyDescent="0.2">
      <c r="A66" s="502" t="s">
        <v>288</v>
      </c>
      <c r="B66" s="469">
        <f>_xlfn.XLOOKUP($A66,'Physical Condition Assessment'!$U:$U,'Physical Condition Assessment'!$E:$E,"!!!!!",0)</f>
        <v>0</v>
      </c>
      <c r="C66" s="469">
        <f>_xlfn.XLOOKUP($A66,'Physical Condition Assessment'!$U:$U,'Physical Condition Assessment'!$F:$F,"!!!!!",0)</f>
        <v>0</v>
      </c>
      <c r="D66" s="469">
        <f>_xlfn.XLOOKUP($A66,'Physical Condition Assessment'!$U:$U,'Physical Condition Assessment'!$H:$H,"!!!!!",0)</f>
        <v>0</v>
      </c>
      <c r="E66" s="469">
        <f>_xlfn.XLOOKUP($A66,'Physical Condition Assessment'!$U:$U,'Physical Condition Assessment'!$J:$J,"!!!!!",0)</f>
        <v>0</v>
      </c>
      <c r="F66" s="469">
        <f>_xlfn.XLOOKUP($A66,'Physical Condition Assessment'!$U:$U,'Physical Condition Assessment'!$L:$L,"!!!!!",0)</f>
        <v>0</v>
      </c>
      <c r="G66" s="469">
        <f>_xlfn.XLOOKUP($A66,'Physical Condition Assessment'!$U:$U,'Physical Condition Assessment'!$N:$N,"!!!!!",0)</f>
        <v>0</v>
      </c>
      <c r="H66" s="469">
        <f>_xlfn.XLOOKUP($A66,'Physical Condition Assessment'!$U:$U,'Physical Condition Assessment'!$P:$P,"!!!!!",0)</f>
        <v>0</v>
      </c>
      <c r="I66" s="525">
        <f>_xlfn.XLOOKUP($A66,'Physical Condition Assessment'!$U:$U,'Physical Condition Assessment'!$R:$R,"!!!!!",0)</f>
        <v>0</v>
      </c>
      <c r="J66" s="471">
        <f>_xlfn.XLOOKUP($A66,'Physical Condition Assessment'!$U:$U,'Physical Condition Assessment'!$S:$S,"!!!!!",0)</f>
        <v>0</v>
      </c>
      <c r="K66" s="469">
        <f>_xlfn.XLOOKUP($A66,'Physical Condition Assessment'!$U:$U,'Physical Condition Assessment'!$T:$T,"!!!!!",0)</f>
        <v>0</v>
      </c>
      <c r="L66" s="502" t="str">
        <f>_xlfn.XLOOKUP($A66,'Physical Condition Assessment'!$U:$U,'Physical Condition Assessment'!$V:$V,"missing",0)</f>
        <v>HVAC</v>
      </c>
      <c r="M66" s="469" t="str">
        <f>_xlfn.XLOOKUP($A66,'Physical Condition Assessment'!$U:$U,'Physical Condition Assessment'!$AE:$AE,"!!!!!",0)</f>
        <v>SF</v>
      </c>
      <c r="N66" s="471">
        <f>_xlfn.XLOOKUP($A66,'Physical Condition Assessment'!$U:$U,'Physical Condition Assessment'!$AP:$AP,"!!!!!",0)</f>
        <v>0</v>
      </c>
      <c r="O66" s="526">
        <f t="shared" si="0"/>
        <v>0</v>
      </c>
      <c r="P66" s="502" t="str">
        <f t="shared" si="1"/>
        <v>Green</v>
      </c>
      <c r="R66" s="502" t="str">
        <f t="shared" si="2"/>
        <v/>
      </c>
      <c r="S66" s="502" t="str">
        <f t="shared" si="3"/>
        <v/>
      </c>
      <c r="T66" s="95" t="s">
        <v>649</v>
      </c>
      <c r="U66" s="95" t="s">
        <v>650</v>
      </c>
      <c r="V66" s="95" t="s">
        <v>651</v>
      </c>
      <c r="W66" s="95" t="s">
        <v>604</v>
      </c>
      <c r="X66" s="95" t="s">
        <v>652</v>
      </c>
      <c r="Z66" s="95" t="s">
        <v>653</v>
      </c>
    </row>
    <row r="67" spans="1:26" x14ac:dyDescent="0.2">
      <c r="A67" s="502" t="s">
        <v>164</v>
      </c>
      <c r="B67" s="469">
        <f>_xlfn.XLOOKUP($A67,'Physical Condition Assessment'!$U:$U,'Physical Condition Assessment'!$E:$E,"!!!!!",0)</f>
        <v>0</v>
      </c>
      <c r="C67" s="469">
        <f>_xlfn.XLOOKUP($A67,'Physical Condition Assessment'!$U:$U,'Physical Condition Assessment'!$F:$F,"!!!!!",0)</f>
        <v>0</v>
      </c>
      <c r="D67" s="469">
        <f>_xlfn.XLOOKUP($A67,'Physical Condition Assessment'!$U:$U,'Physical Condition Assessment'!$H:$H,"!!!!!",0)</f>
        <v>0</v>
      </c>
      <c r="E67" s="469">
        <f>_xlfn.XLOOKUP($A67,'Physical Condition Assessment'!$U:$U,'Physical Condition Assessment'!$J:$J,"!!!!!",0)</f>
        <v>0</v>
      </c>
      <c r="F67" s="469">
        <f>_xlfn.XLOOKUP($A67,'Physical Condition Assessment'!$U:$U,'Physical Condition Assessment'!$L:$L,"!!!!!",0)</f>
        <v>0</v>
      </c>
      <c r="G67" s="469">
        <f>_xlfn.XLOOKUP($A67,'Physical Condition Assessment'!$U:$U,'Physical Condition Assessment'!$N:$N,"!!!!!",0)</f>
        <v>0</v>
      </c>
      <c r="H67" s="469">
        <f>_xlfn.XLOOKUP($A67,'Physical Condition Assessment'!$U:$U,'Physical Condition Assessment'!$P:$P,"!!!!!",0)</f>
        <v>0</v>
      </c>
      <c r="I67" s="525">
        <f>_xlfn.XLOOKUP($A67,'Physical Condition Assessment'!$U:$U,'Physical Condition Assessment'!$R:$R,"!!!!!",0)</f>
        <v>0</v>
      </c>
      <c r="J67" s="471">
        <f>_xlfn.XLOOKUP($A67,'Physical Condition Assessment'!$U:$U,'Physical Condition Assessment'!$S:$S,"!!!!!",0)</f>
        <v>0</v>
      </c>
      <c r="K67" s="469">
        <f>_xlfn.XLOOKUP($A67,'Physical Condition Assessment'!$U:$U,'Physical Condition Assessment'!$T:$T,"!!!!!",0)</f>
        <v>0</v>
      </c>
      <c r="L67" s="502" t="str">
        <f>_xlfn.XLOOKUP($A67,'Physical Condition Assessment'!$U:$U,'Physical Condition Assessment'!$V:$V,"missing",0)</f>
        <v>Interior Structure</v>
      </c>
      <c r="M67" s="469" t="str">
        <f>_xlfn.XLOOKUP($A67,'Physical Condition Assessment'!$U:$U,'Physical Condition Assessment'!$AE:$AE,"!!!!!",0)</f>
        <v>SF</v>
      </c>
      <c r="N67" s="471">
        <f>_xlfn.XLOOKUP($A67,'Physical Condition Assessment'!$U:$U,'Physical Condition Assessment'!$AP:$AP,"!!!!!",0)</f>
        <v>0</v>
      </c>
      <c r="O67" s="526">
        <f t="shared" ref="O67:O127" si="4">IF(J67=0,0,(J67/N67))</f>
        <v>0</v>
      </c>
      <c r="P67" s="502" t="str">
        <f t="shared" ref="P67:P130" si="5">IF(O67&lt;0.01,"Green",IF(O67&lt;0.499,"Yellow","Red"))</f>
        <v>Green</v>
      </c>
      <c r="R67" s="502" t="str">
        <f t="shared" ref="R67:R130" si="6">IF(F67="x",($I67*100)&amp;"%"&amp;" "&amp;"of"&amp;" "&amp;$U67&amp;".",IF(G67="x",($I67*100)&amp;"%"&amp;" "&amp;"of"&amp;" "&amp;$U67&amp;".",IF(H67="x",($I67*100)&amp;"%"&amp;" "&amp;"of"&amp;" "&amp;$U67&amp;".","")))</f>
        <v/>
      </c>
      <c r="S67" s="502" t="str">
        <f t="shared" ref="S67:S130" si="7">IF(D67="x",($I67*100)&amp;"%"&amp;" "&amp;"of"&amp;" "&amp;$U67&amp;" "&amp;"need minor-to-moderate renovations.",IF(E67="x",($I67*100)&amp;"%"&amp;" "&amp;"of"&amp;" "&amp;$U67&amp;" "&amp;"need minor-to-moderate renovations.",IF(I67="x",($I67*100)&amp;"%"&amp;" "&amp;"of"&amp;" "&amp;$U67&amp;" "&amp;"need minor-to-moderate renovations.","")))</f>
        <v/>
      </c>
      <c r="T67" s="95" t="s">
        <v>654</v>
      </c>
      <c r="U67" s="95" t="s">
        <v>655</v>
      </c>
      <c r="V67" s="95" t="s">
        <v>656</v>
      </c>
      <c r="W67" s="95" t="s">
        <v>657</v>
      </c>
      <c r="X67" s="95" t="s">
        <v>499</v>
      </c>
    </row>
    <row r="68" spans="1:26" x14ac:dyDescent="0.2">
      <c r="A68" s="502" t="s">
        <v>162</v>
      </c>
      <c r="B68" s="469">
        <f>_xlfn.XLOOKUP($A68,'Physical Condition Assessment'!$U:$U,'Physical Condition Assessment'!$E:$E,"!!!!!",0)</f>
        <v>0</v>
      </c>
      <c r="C68" s="469">
        <f>_xlfn.XLOOKUP($A68,'Physical Condition Assessment'!$U:$U,'Physical Condition Assessment'!$F:$F,"!!!!!",0)</f>
        <v>0</v>
      </c>
      <c r="D68" s="469">
        <f>_xlfn.XLOOKUP($A68,'Physical Condition Assessment'!$U:$U,'Physical Condition Assessment'!$H:$H,"!!!!!",0)</f>
        <v>0</v>
      </c>
      <c r="E68" s="469">
        <f>_xlfn.XLOOKUP($A68,'Physical Condition Assessment'!$U:$U,'Physical Condition Assessment'!$J:$J,"!!!!!",0)</f>
        <v>0</v>
      </c>
      <c r="F68" s="469">
        <f>_xlfn.XLOOKUP($A68,'Physical Condition Assessment'!$U:$U,'Physical Condition Assessment'!$L:$L,"!!!!!",0)</f>
        <v>0</v>
      </c>
      <c r="G68" s="469">
        <f>_xlfn.XLOOKUP($A68,'Physical Condition Assessment'!$U:$U,'Physical Condition Assessment'!$N:$N,"!!!!!",0)</f>
        <v>0</v>
      </c>
      <c r="H68" s="469">
        <f>_xlfn.XLOOKUP($A68,'Physical Condition Assessment'!$U:$U,'Physical Condition Assessment'!$P:$P,"!!!!!",0)</f>
        <v>0</v>
      </c>
      <c r="I68" s="525">
        <f>_xlfn.XLOOKUP($A68,'Physical Condition Assessment'!$U:$U,'Physical Condition Assessment'!$R:$R,"!!!!!",0)</f>
        <v>0</v>
      </c>
      <c r="J68" s="471">
        <f>_xlfn.XLOOKUP($A68,'Physical Condition Assessment'!$U:$U,'Physical Condition Assessment'!$S:$S,"!!!!!",0)</f>
        <v>0</v>
      </c>
      <c r="K68" s="469">
        <f>_xlfn.XLOOKUP($A68,'Physical Condition Assessment'!$U:$U,'Physical Condition Assessment'!$T:$T,"!!!!!",0)</f>
        <v>0</v>
      </c>
      <c r="L68" s="502" t="str">
        <f>_xlfn.XLOOKUP($A68,'Physical Condition Assessment'!$U:$U,'Physical Condition Assessment'!$V:$V,"missing",0)</f>
        <v>Interior Structure</v>
      </c>
      <c r="M68" s="469" t="str">
        <f>_xlfn.XLOOKUP($A68,'Physical Condition Assessment'!$U:$U,'Physical Condition Assessment'!$AE:$AE,"!!!!!",0)</f>
        <v>SF</v>
      </c>
      <c r="N68" s="471">
        <f>_xlfn.XLOOKUP($A68,'Physical Condition Assessment'!$U:$U,'Physical Condition Assessment'!$AP:$AP,"!!!!!",0)</f>
        <v>0</v>
      </c>
      <c r="O68" s="526">
        <f t="shared" si="4"/>
        <v>0</v>
      </c>
      <c r="P68" s="502" t="str">
        <f t="shared" si="5"/>
        <v>Green</v>
      </c>
      <c r="R68" s="502" t="str">
        <f t="shared" si="6"/>
        <v/>
      </c>
      <c r="S68" s="502" t="str">
        <f t="shared" si="7"/>
        <v/>
      </c>
      <c r="T68" s="95" t="s">
        <v>654</v>
      </c>
      <c r="U68" s="95" t="s">
        <v>658</v>
      </c>
      <c r="V68" s="95" t="s">
        <v>659</v>
      </c>
      <c r="W68" s="95" t="s">
        <v>658</v>
      </c>
    </row>
    <row r="69" spans="1:26" x14ac:dyDescent="0.2">
      <c r="A69" s="502" t="s">
        <v>163</v>
      </c>
      <c r="B69" s="469">
        <f>_xlfn.XLOOKUP($A69,'Physical Condition Assessment'!$U:$U,'Physical Condition Assessment'!$E:$E,"!!!!!",0)</f>
        <v>0</v>
      </c>
      <c r="C69" s="469">
        <f>_xlfn.XLOOKUP($A69,'Physical Condition Assessment'!$U:$U,'Physical Condition Assessment'!$F:$F,"!!!!!",0)</f>
        <v>0</v>
      </c>
      <c r="D69" s="469">
        <f>_xlfn.XLOOKUP($A69,'Physical Condition Assessment'!$U:$U,'Physical Condition Assessment'!$H:$H,"!!!!!",0)</f>
        <v>0</v>
      </c>
      <c r="E69" s="469">
        <f>_xlfn.XLOOKUP($A69,'Physical Condition Assessment'!$U:$U,'Physical Condition Assessment'!$J:$J,"!!!!!",0)</f>
        <v>0</v>
      </c>
      <c r="F69" s="469">
        <f>_xlfn.XLOOKUP($A69,'Physical Condition Assessment'!$U:$U,'Physical Condition Assessment'!$L:$L,"!!!!!",0)</f>
        <v>0</v>
      </c>
      <c r="G69" s="469">
        <f>_xlfn.XLOOKUP($A69,'Physical Condition Assessment'!$U:$U,'Physical Condition Assessment'!$N:$N,"!!!!!",0)</f>
        <v>0</v>
      </c>
      <c r="H69" s="469">
        <f>_xlfn.XLOOKUP($A69,'Physical Condition Assessment'!$U:$U,'Physical Condition Assessment'!$P:$P,"!!!!!",0)</f>
        <v>0</v>
      </c>
      <c r="I69" s="525">
        <f>_xlfn.XLOOKUP($A69,'Physical Condition Assessment'!$U:$U,'Physical Condition Assessment'!$R:$R,"!!!!!",0)</f>
        <v>0</v>
      </c>
      <c r="J69" s="471">
        <f>_xlfn.XLOOKUP($A69,'Physical Condition Assessment'!$U:$U,'Physical Condition Assessment'!$S:$S,"!!!!!",0)</f>
        <v>0</v>
      </c>
      <c r="K69" s="469">
        <f>_xlfn.XLOOKUP($A69,'Physical Condition Assessment'!$U:$U,'Physical Condition Assessment'!$T:$T,"!!!!!",0)</f>
        <v>0</v>
      </c>
      <c r="L69" s="502" t="str">
        <f>_xlfn.XLOOKUP($A69,'Physical Condition Assessment'!$U:$U,'Physical Condition Assessment'!$V:$V,"missing",0)</f>
        <v>Interior Structure</v>
      </c>
      <c r="M69" s="469" t="str">
        <f>_xlfn.XLOOKUP($A69,'Physical Condition Assessment'!$U:$U,'Physical Condition Assessment'!$AE:$AE,"!!!!!",0)</f>
        <v>SF</v>
      </c>
      <c r="N69" s="471">
        <f>_xlfn.XLOOKUP($A69,'Physical Condition Assessment'!$U:$U,'Physical Condition Assessment'!$AP:$AP,"!!!!!",0)</f>
        <v>0</v>
      </c>
      <c r="O69" s="526">
        <f t="shared" si="4"/>
        <v>0</v>
      </c>
      <c r="P69" s="502" t="str">
        <f t="shared" si="5"/>
        <v>Green</v>
      </c>
      <c r="R69" s="502" t="str">
        <f t="shared" si="6"/>
        <v/>
      </c>
      <c r="S69" s="502" t="str">
        <f t="shared" si="7"/>
        <v/>
      </c>
      <c r="T69" s="95" t="s">
        <v>654</v>
      </c>
      <c r="U69" s="95" t="s">
        <v>660</v>
      </c>
      <c r="V69" s="95" t="s">
        <v>661</v>
      </c>
      <c r="W69" s="95" t="s">
        <v>660</v>
      </c>
    </row>
    <row r="70" spans="1:26" x14ac:dyDescent="0.2">
      <c r="A70" s="502" t="s">
        <v>179</v>
      </c>
      <c r="B70" s="469">
        <f>_xlfn.XLOOKUP($A70,'Physical Condition Assessment'!$U:$U,'Physical Condition Assessment'!$E:$E,"!!!!!",0)</f>
        <v>0</v>
      </c>
      <c r="C70" s="469">
        <f>_xlfn.XLOOKUP($A70,'Physical Condition Assessment'!$U:$U,'Physical Condition Assessment'!$F:$F,"!!!!!",0)</f>
        <v>0</v>
      </c>
      <c r="D70" s="469">
        <f>_xlfn.XLOOKUP($A70,'Physical Condition Assessment'!$U:$U,'Physical Condition Assessment'!$H:$H,"!!!!!",0)</f>
        <v>0</v>
      </c>
      <c r="E70" s="469">
        <f>_xlfn.XLOOKUP($A70,'Physical Condition Assessment'!$U:$U,'Physical Condition Assessment'!$J:$J,"!!!!!",0)</f>
        <v>0</v>
      </c>
      <c r="F70" s="469">
        <f>_xlfn.XLOOKUP($A70,'Physical Condition Assessment'!$U:$U,'Physical Condition Assessment'!$L:$L,"!!!!!",0)</f>
        <v>0</v>
      </c>
      <c r="G70" s="469">
        <f>_xlfn.XLOOKUP($A70,'Physical Condition Assessment'!$U:$U,'Physical Condition Assessment'!$N:$N,"!!!!!",0)</f>
        <v>0</v>
      </c>
      <c r="H70" s="469">
        <f>_xlfn.XLOOKUP($A70,'Physical Condition Assessment'!$U:$U,'Physical Condition Assessment'!$P:$P,"!!!!!",0)</f>
        <v>0</v>
      </c>
      <c r="I70" s="525">
        <f>_xlfn.XLOOKUP($A70,'Physical Condition Assessment'!$U:$U,'Physical Condition Assessment'!$R:$R,"!!!!!",0)</f>
        <v>0</v>
      </c>
      <c r="J70" s="471">
        <f>_xlfn.XLOOKUP($A70,'Physical Condition Assessment'!$U:$U,'Physical Condition Assessment'!$S:$S,"!!!!!",0)</f>
        <v>0</v>
      </c>
      <c r="K70" s="469">
        <f>_xlfn.XLOOKUP($A70,'Physical Condition Assessment'!$U:$U,'Physical Condition Assessment'!$T:$T,"!!!!!",0)</f>
        <v>0</v>
      </c>
      <c r="L70" s="502" t="str">
        <f>_xlfn.XLOOKUP($A70,'Physical Condition Assessment'!$U:$U,'Physical Condition Assessment'!$V:$V,"missing",0)</f>
        <v>Interior Structure</v>
      </c>
      <c r="M70" s="469" t="str">
        <f>_xlfn.XLOOKUP($A70,'Physical Condition Assessment'!$U:$U,'Physical Condition Assessment'!$AE:$AE,"!!!!!",0)</f>
        <v>Unit</v>
      </c>
      <c r="N70" s="471">
        <f>_xlfn.XLOOKUP($A70,'Physical Condition Assessment'!$U:$U,'Physical Condition Assessment'!$AP:$AP,"!!!!!",0)</f>
        <v>0</v>
      </c>
      <c r="O70" s="526">
        <f t="shared" si="4"/>
        <v>0</v>
      </c>
      <c r="P70" s="502" t="str">
        <f t="shared" si="5"/>
        <v>Green</v>
      </c>
      <c r="R70" s="502" t="str">
        <f t="shared" si="6"/>
        <v/>
      </c>
      <c r="S70" s="502" t="str">
        <f t="shared" si="7"/>
        <v/>
      </c>
      <c r="T70" s="95" t="s">
        <v>662</v>
      </c>
      <c r="U70" s="95" t="s">
        <v>663</v>
      </c>
      <c r="V70" s="95" t="s">
        <v>664</v>
      </c>
      <c r="W70" s="95" t="s">
        <v>665</v>
      </c>
      <c r="X70" s="95" t="s">
        <v>512</v>
      </c>
      <c r="Y70" s="95" t="s">
        <v>88</v>
      </c>
    </row>
    <row r="71" spans="1:26" x14ac:dyDescent="0.2">
      <c r="A71" s="502" t="s">
        <v>178</v>
      </c>
      <c r="B71" s="469">
        <f>_xlfn.XLOOKUP($A71,'Physical Condition Assessment'!$U:$U,'Physical Condition Assessment'!$E:$E,"!!!!!",0)</f>
        <v>0</v>
      </c>
      <c r="C71" s="469">
        <f>_xlfn.XLOOKUP($A71,'Physical Condition Assessment'!$U:$U,'Physical Condition Assessment'!$F:$F,"!!!!!",0)</f>
        <v>0</v>
      </c>
      <c r="D71" s="469">
        <f>_xlfn.XLOOKUP($A71,'Physical Condition Assessment'!$U:$U,'Physical Condition Assessment'!$H:$H,"!!!!!",0)</f>
        <v>0</v>
      </c>
      <c r="E71" s="469">
        <f>_xlfn.XLOOKUP($A71,'Physical Condition Assessment'!$U:$U,'Physical Condition Assessment'!$J:$J,"!!!!!",0)</f>
        <v>0</v>
      </c>
      <c r="F71" s="469">
        <f>_xlfn.XLOOKUP($A71,'Physical Condition Assessment'!$U:$U,'Physical Condition Assessment'!$L:$L,"!!!!!",0)</f>
        <v>0</v>
      </c>
      <c r="G71" s="469">
        <f>_xlfn.XLOOKUP($A71,'Physical Condition Assessment'!$U:$U,'Physical Condition Assessment'!$N:$N,"!!!!!",0)</f>
        <v>0</v>
      </c>
      <c r="H71" s="469">
        <f>_xlfn.XLOOKUP($A71,'Physical Condition Assessment'!$U:$U,'Physical Condition Assessment'!$P:$P,"!!!!!",0)</f>
        <v>0</v>
      </c>
      <c r="I71" s="525">
        <f>_xlfn.XLOOKUP($A71,'Physical Condition Assessment'!$U:$U,'Physical Condition Assessment'!$R:$R,"!!!!!",0)</f>
        <v>0</v>
      </c>
      <c r="J71" s="471">
        <f>_xlfn.XLOOKUP($A71,'Physical Condition Assessment'!$U:$U,'Physical Condition Assessment'!$S:$S,"!!!!!",0)</f>
        <v>0</v>
      </c>
      <c r="K71" s="469">
        <f>_xlfn.XLOOKUP($A71,'Physical Condition Assessment'!$U:$U,'Physical Condition Assessment'!$T:$T,"!!!!!",0)</f>
        <v>0</v>
      </c>
      <c r="L71" s="502" t="str">
        <f>_xlfn.XLOOKUP($A71,'Physical Condition Assessment'!$U:$U,'Physical Condition Assessment'!$V:$V,"missing",0)</f>
        <v>Interior Structure</v>
      </c>
      <c r="M71" s="469" t="str">
        <f>_xlfn.XLOOKUP($A71,'Physical Condition Assessment'!$U:$U,'Physical Condition Assessment'!$AE:$AE,"!!!!!",0)</f>
        <v>Unit</v>
      </c>
      <c r="N71" s="471">
        <f>_xlfn.XLOOKUP($A71,'Physical Condition Assessment'!$U:$U,'Physical Condition Assessment'!$AP:$AP,"!!!!!",0)</f>
        <v>0</v>
      </c>
      <c r="O71" s="526">
        <f t="shared" si="4"/>
        <v>0</v>
      </c>
      <c r="P71" s="502" t="str">
        <f t="shared" si="5"/>
        <v>Green</v>
      </c>
      <c r="R71" s="502" t="str">
        <f t="shared" si="6"/>
        <v/>
      </c>
      <c r="S71" s="502" t="str">
        <f t="shared" si="7"/>
        <v/>
      </c>
      <c r="T71" s="95" t="s">
        <v>662</v>
      </c>
      <c r="U71" s="95" t="s">
        <v>666</v>
      </c>
      <c r="V71" s="95" t="s">
        <v>667</v>
      </c>
      <c r="W71" s="95" t="s">
        <v>665</v>
      </c>
      <c r="X71" s="95" t="s">
        <v>512</v>
      </c>
      <c r="Y71" s="95" t="s">
        <v>149</v>
      </c>
    </row>
    <row r="72" spans="1:26" x14ac:dyDescent="0.2">
      <c r="A72" s="502" t="s">
        <v>177</v>
      </c>
      <c r="B72" s="469">
        <f>_xlfn.XLOOKUP($A72,'Physical Condition Assessment'!$U:$U,'Physical Condition Assessment'!$E:$E,"!!!!!",0)</f>
        <v>0</v>
      </c>
      <c r="C72" s="469">
        <f>_xlfn.XLOOKUP($A72,'Physical Condition Assessment'!$U:$U,'Physical Condition Assessment'!$F:$F,"!!!!!",0)</f>
        <v>0</v>
      </c>
      <c r="D72" s="469">
        <f>_xlfn.XLOOKUP($A72,'Physical Condition Assessment'!$U:$U,'Physical Condition Assessment'!$H:$H,"!!!!!",0)</f>
        <v>0</v>
      </c>
      <c r="E72" s="469">
        <f>_xlfn.XLOOKUP($A72,'Physical Condition Assessment'!$U:$U,'Physical Condition Assessment'!$J:$J,"!!!!!",0)</f>
        <v>0</v>
      </c>
      <c r="F72" s="469">
        <f>_xlfn.XLOOKUP($A72,'Physical Condition Assessment'!$U:$U,'Physical Condition Assessment'!$L:$L,"!!!!!",0)</f>
        <v>0</v>
      </c>
      <c r="G72" s="469">
        <f>_xlfn.XLOOKUP($A72,'Physical Condition Assessment'!$U:$U,'Physical Condition Assessment'!$N:$N,"!!!!!",0)</f>
        <v>0</v>
      </c>
      <c r="H72" s="469">
        <f>_xlfn.XLOOKUP($A72,'Physical Condition Assessment'!$U:$U,'Physical Condition Assessment'!$P:$P,"!!!!!",0)</f>
        <v>0</v>
      </c>
      <c r="I72" s="525">
        <f>_xlfn.XLOOKUP($A72,'Physical Condition Assessment'!$U:$U,'Physical Condition Assessment'!$R:$R,"!!!!!",0)</f>
        <v>0</v>
      </c>
      <c r="J72" s="471">
        <f>_xlfn.XLOOKUP($A72,'Physical Condition Assessment'!$U:$U,'Physical Condition Assessment'!$S:$S,"!!!!!",0)</f>
        <v>0</v>
      </c>
      <c r="K72" s="469">
        <f>_xlfn.XLOOKUP($A72,'Physical Condition Assessment'!$U:$U,'Physical Condition Assessment'!$T:$T,"!!!!!",0)</f>
        <v>0</v>
      </c>
      <c r="L72" s="502" t="str">
        <f>_xlfn.XLOOKUP($A72,'Physical Condition Assessment'!$U:$U,'Physical Condition Assessment'!$V:$V,"missing",0)</f>
        <v>Interior Structure</v>
      </c>
      <c r="M72" s="469" t="str">
        <f>_xlfn.XLOOKUP($A72,'Physical Condition Assessment'!$U:$U,'Physical Condition Assessment'!$AE:$AE,"!!!!!",0)</f>
        <v>Unit</v>
      </c>
      <c r="N72" s="471">
        <f>_xlfn.XLOOKUP($A72,'Physical Condition Assessment'!$U:$U,'Physical Condition Assessment'!$AP:$AP,"!!!!!",0)</f>
        <v>0</v>
      </c>
      <c r="O72" s="526">
        <f t="shared" si="4"/>
        <v>0</v>
      </c>
      <c r="P72" s="502" t="str">
        <f t="shared" si="5"/>
        <v>Green</v>
      </c>
      <c r="R72" s="502" t="str">
        <f t="shared" si="6"/>
        <v/>
      </c>
      <c r="S72" s="502" t="str">
        <f t="shared" si="7"/>
        <v/>
      </c>
      <c r="T72" s="95" t="s">
        <v>662</v>
      </c>
      <c r="U72" s="95" t="s">
        <v>668</v>
      </c>
      <c r="V72" s="95" t="s">
        <v>669</v>
      </c>
      <c r="W72" s="95" t="s">
        <v>665</v>
      </c>
      <c r="X72" s="95" t="s">
        <v>512</v>
      </c>
      <c r="Y72" s="95" t="s">
        <v>83</v>
      </c>
    </row>
    <row r="73" spans="1:26" x14ac:dyDescent="0.2">
      <c r="A73" s="502" t="s">
        <v>182</v>
      </c>
      <c r="B73" s="469">
        <f>_xlfn.XLOOKUP($A73,'Physical Condition Assessment'!$U:$U,'Physical Condition Assessment'!$E:$E,"!!!!!",0)</f>
        <v>0</v>
      </c>
      <c r="C73" s="469">
        <f>_xlfn.XLOOKUP($A73,'Physical Condition Assessment'!$U:$U,'Physical Condition Assessment'!$F:$F,"!!!!!",0)</f>
        <v>0</v>
      </c>
      <c r="D73" s="469">
        <f>_xlfn.XLOOKUP($A73,'Physical Condition Assessment'!$U:$U,'Physical Condition Assessment'!$H:$H,"!!!!!",0)</f>
        <v>0</v>
      </c>
      <c r="E73" s="469">
        <f>_xlfn.XLOOKUP($A73,'Physical Condition Assessment'!$U:$U,'Physical Condition Assessment'!$J:$J,"!!!!!",0)</f>
        <v>0</v>
      </c>
      <c r="F73" s="469">
        <f>_xlfn.XLOOKUP($A73,'Physical Condition Assessment'!$U:$U,'Physical Condition Assessment'!$L:$L,"!!!!!",0)</f>
        <v>0</v>
      </c>
      <c r="G73" s="469">
        <f>_xlfn.XLOOKUP($A73,'Physical Condition Assessment'!$U:$U,'Physical Condition Assessment'!$N:$N,"!!!!!",0)</f>
        <v>0</v>
      </c>
      <c r="H73" s="469">
        <f>_xlfn.XLOOKUP($A73,'Physical Condition Assessment'!$U:$U,'Physical Condition Assessment'!$P:$P,"!!!!!",0)</f>
        <v>0</v>
      </c>
      <c r="I73" s="525">
        <f>_xlfn.XLOOKUP($A73,'Physical Condition Assessment'!$U:$U,'Physical Condition Assessment'!$R:$R,"!!!!!",0)</f>
        <v>0</v>
      </c>
      <c r="J73" s="471">
        <f>_xlfn.XLOOKUP($A73,'Physical Condition Assessment'!$U:$U,'Physical Condition Assessment'!$S:$S,"!!!!!",0)</f>
        <v>0</v>
      </c>
      <c r="K73" s="469">
        <f>_xlfn.XLOOKUP($A73,'Physical Condition Assessment'!$U:$U,'Physical Condition Assessment'!$T:$T,"!!!!!",0)</f>
        <v>0</v>
      </c>
      <c r="L73" s="502" t="str">
        <f>_xlfn.XLOOKUP($A73,'Physical Condition Assessment'!$U:$U,'Physical Condition Assessment'!$V:$V,"missing",0)</f>
        <v>Interior Structure</v>
      </c>
      <c r="M73" s="469" t="str">
        <f>_xlfn.XLOOKUP($A73,'Physical Condition Assessment'!$U:$U,'Physical Condition Assessment'!$AE:$AE,"!!!!!",0)</f>
        <v>Unit</v>
      </c>
      <c r="N73" s="471">
        <f>_xlfn.XLOOKUP($A73,'Physical Condition Assessment'!$U:$U,'Physical Condition Assessment'!$AP:$AP,"!!!!!",0)</f>
        <v>0</v>
      </c>
      <c r="O73" s="526">
        <f t="shared" si="4"/>
        <v>0</v>
      </c>
      <c r="P73" s="502" t="str">
        <f t="shared" si="5"/>
        <v>Green</v>
      </c>
      <c r="R73" s="502" t="str">
        <f t="shared" si="6"/>
        <v/>
      </c>
      <c r="S73" s="502" t="str">
        <f t="shared" si="7"/>
        <v/>
      </c>
      <c r="T73" s="95" t="s">
        <v>670</v>
      </c>
      <c r="U73" s="95" t="s">
        <v>671</v>
      </c>
      <c r="V73" s="95" t="s">
        <v>672</v>
      </c>
      <c r="W73" s="95" t="s">
        <v>665</v>
      </c>
      <c r="X73" s="95" t="s">
        <v>524</v>
      </c>
      <c r="Y73" s="95" t="s">
        <v>88</v>
      </c>
      <c r="Z73" s="95" t="s">
        <v>673</v>
      </c>
    </row>
    <row r="74" spans="1:26" x14ac:dyDescent="0.2">
      <c r="A74" s="502" t="s">
        <v>187</v>
      </c>
      <c r="B74" s="469">
        <f>_xlfn.XLOOKUP($A74,'Physical Condition Assessment'!$U:$U,'Physical Condition Assessment'!$E:$E,"!!!!!",0)</f>
        <v>0</v>
      </c>
      <c r="C74" s="469">
        <f>_xlfn.XLOOKUP($A74,'Physical Condition Assessment'!$U:$U,'Physical Condition Assessment'!$F:$F,"!!!!!",0)</f>
        <v>0</v>
      </c>
      <c r="D74" s="469">
        <f>_xlfn.XLOOKUP($A74,'Physical Condition Assessment'!$U:$U,'Physical Condition Assessment'!$H:$H,"!!!!!",0)</f>
        <v>0</v>
      </c>
      <c r="E74" s="469">
        <f>_xlfn.XLOOKUP($A74,'Physical Condition Assessment'!$U:$U,'Physical Condition Assessment'!$J:$J,"!!!!!",0)</f>
        <v>0</v>
      </c>
      <c r="F74" s="469">
        <f>_xlfn.XLOOKUP($A74,'Physical Condition Assessment'!$U:$U,'Physical Condition Assessment'!$L:$L,"!!!!!",0)</f>
        <v>0</v>
      </c>
      <c r="G74" s="469">
        <f>_xlfn.XLOOKUP($A74,'Physical Condition Assessment'!$U:$U,'Physical Condition Assessment'!$N:$N,"!!!!!",0)</f>
        <v>0</v>
      </c>
      <c r="H74" s="469">
        <f>_xlfn.XLOOKUP($A74,'Physical Condition Assessment'!$U:$U,'Physical Condition Assessment'!$P:$P,"!!!!!",0)</f>
        <v>0</v>
      </c>
      <c r="I74" s="525">
        <f>_xlfn.XLOOKUP($A74,'Physical Condition Assessment'!$U:$U,'Physical Condition Assessment'!$R:$R,"!!!!!",0)</f>
        <v>0</v>
      </c>
      <c r="J74" s="471">
        <f>_xlfn.XLOOKUP($A74,'Physical Condition Assessment'!$U:$U,'Physical Condition Assessment'!$S:$S,"!!!!!",0)</f>
        <v>0</v>
      </c>
      <c r="K74" s="469">
        <f>_xlfn.XLOOKUP($A74,'Physical Condition Assessment'!$U:$U,'Physical Condition Assessment'!$T:$T,"!!!!!",0)</f>
        <v>0</v>
      </c>
      <c r="L74" s="502" t="str">
        <f>_xlfn.XLOOKUP($A74,'Physical Condition Assessment'!$U:$U,'Physical Condition Assessment'!$V:$V,"missing",0)</f>
        <v>Interior Structure</v>
      </c>
      <c r="M74" s="469" t="str">
        <f>_xlfn.XLOOKUP($A74,'Physical Condition Assessment'!$U:$U,'Physical Condition Assessment'!$AE:$AE,"!!!!!",0)</f>
        <v>Unit</v>
      </c>
      <c r="N74" s="471">
        <f>_xlfn.XLOOKUP($A74,'Physical Condition Assessment'!$U:$U,'Physical Condition Assessment'!$AP:$AP,"!!!!!",0)</f>
        <v>0</v>
      </c>
      <c r="O74" s="526">
        <f t="shared" si="4"/>
        <v>0</v>
      </c>
      <c r="P74" s="502" t="str">
        <f t="shared" si="5"/>
        <v>Green</v>
      </c>
      <c r="R74" s="502" t="str">
        <f t="shared" si="6"/>
        <v/>
      </c>
      <c r="S74" s="502" t="str">
        <f t="shared" si="7"/>
        <v/>
      </c>
      <c r="T74" s="95" t="s">
        <v>670</v>
      </c>
      <c r="U74" s="95" t="s">
        <v>674</v>
      </c>
      <c r="V74" s="95" t="s">
        <v>675</v>
      </c>
      <c r="W74" s="95" t="s">
        <v>665</v>
      </c>
      <c r="X74" s="95" t="s">
        <v>524</v>
      </c>
      <c r="Y74" s="95" t="s">
        <v>149</v>
      </c>
      <c r="Z74" s="95" t="s">
        <v>676</v>
      </c>
    </row>
    <row r="75" spans="1:26" x14ac:dyDescent="0.2">
      <c r="A75" s="502" t="s">
        <v>184</v>
      </c>
      <c r="B75" s="469">
        <f>_xlfn.XLOOKUP($A75,'Physical Condition Assessment'!$U:$U,'Physical Condition Assessment'!$E:$E,"!!!!!",0)</f>
        <v>0</v>
      </c>
      <c r="C75" s="469">
        <f>_xlfn.XLOOKUP($A75,'Physical Condition Assessment'!$U:$U,'Physical Condition Assessment'!$F:$F,"!!!!!",0)</f>
        <v>0</v>
      </c>
      <c r="D75" s="469">
        <f>_xlfn.XLOOKUP($A75,'Physical Condition Assessment'!$U:$U,'Physical Condition Assessment'!$H:$H,"!!!!!",0)</f>
        <v>0</v>
      </c>
      <c r="E75" s="469">
        <f>_xlfn.XLOOKUP($A75,'Physical Condition Assessment'!$U:$U,'Physical Condition Assessment'!$J:$J,"!!!!!",0)</f>
        <v>0</v>
      </c>
      <c r="F75" s="469">
        <f>_xlfn.XLOOKUP($A75,'Physical Condition Assessment'!$U:$U,'Physical Condition Assessment'!$L:$L,"!!!!!",0)</f>
        <v>0</v>
      </c>
      <c r="G75" s="469">
        <f>_xlfn.XLOOKUP($A75,'Physical Condition Assessment'!$U:$U,'Physical Condition Assessment'!$N:$N,"!!!!!",0)</f>
        <v>0</v>
      </c>
      <c r="H75" s="469">
        <f>_xlfn.XLOOKUP($A75,'Physical Condition Assessment'!$U:$U,'Physical Condition Assessment'!$P:$P,"!!!!!",0)</f>
        <v>0</v>
      </c>
      <c r="I75" s="525">
        <f>_xlfn.XLOOKUP($A75,'Physical Condition Assessment'!$U:$U,'Physical Condition Assessment'!$R:$R,"!!!!!",0)</f>
        <v>0</v>
      </c>
      <c r="J75" s="471">
        <f>_xlfn.XLOOKUP($A75,'Physical Condition Assessment'!$U:$U,'Physical Condition Assessment'!$S:$S,"!!!!!",0)</f>
        <v>0</v>
      </c>
      <c r="K75" s="469">
        <f>_xlfn.XLOOKUP($A75,'Physical Condition Assessment'!$U:$U,'Physical Condition Assessment'!$T:$T,"!!!!!",0)</f>
        <v>0</v>
      </c>
      <c r="L75" s="502" t="str">
        <f>_xlfn.XLOOKUP($A75,'Physical Condition Assessment'!$U:$U,'Physical Condition Assessment'!$V:$V,"missing",0)</f>
        <v>Interior Structure</v>
      </c>
      <c r="M75" s="469" t="str">
        <f>_xlfn.XLOOKUP($A75,'Physical Condition Assessment'!$U:$U,'Physical Condition Assessment'!$AE:$AE,"!!!!!",0)</f>
        <v>Unit</v>
      </c>
      <c r="N75" s="471">
        <f>_xlfn.XLOOKUP($A75,'Physical Condition Assessment'!$U:$U,'Physical Condition Assessment'!$AP:$AP,"!!!!!",0)</f>
        <v>0</v>
      </c>
      <c r="O75" s="526">
        <f t="shared" si="4"/>
        <v>0</v>
      </c>
      <c r="P75" s="502" t="str">
        <f t="shared" si="5"/>
        <v>Green</v>
      </c>
      <c r="R75" s="502" t="str">
        <f t="shared" si="6"/>
        <v/>
      </c>
      <c r="S75" s="502" t="str">
        <f t="shared" si="7"/>
        <v/>
      </c>
      <c r="T75" s="95" t="s">
        <v>670</v>
      </c>
      <c r="U75" s="95" t="s">
        <v>677</v>
      </c>
      <c r="V75" s="95" t="s">
        <v>678</v>
      </c>
      <c r="W75" s="95" t="s">
        <v>665</v>
      </c>
      <c r="X75" s="95" t="s">
        <v>524</v>
      </c>
      <c r="Y75" s="95" t="s">
        <v>183</v>
      </c>
    </row>
    <row r="76" spans="1:26" x14ac:dyDescent="0.2">
      <c r="A76" s="502" t="s">
        <v>185</v>
      </c>
      <c r="B76" s="469">
        <f>_xlfn.XLOOKUP($A76,'Physical Condition Assessment'!$U:$U,'Physical Condition Assessment'!$E:$E,"!!!!!",0)</f>
        <v>0</v>
      </c>
      <c r="C76" s="469">
        <f>_xlfn.XLOOKUP($A76,'Physical Condition Assessment'!$U:$U,'Physical Condition Assessment'!$F:$F,"!!!!!",0)</f>
        <v>0</v>
      </c>
      <c r="D76" s="469">
        <f>_xlfn.XLOOKUP($A76,'Physical Condition Assessment'!$U:$U,'Physical Condition Assessment'!$H:$H,"!!!!!",0)</f>
        <v>0</v>
      </c>
      <c r="E76" s="469">
        <f>_xlfn.XLOOKUP($A76,'Physical Condition Assessment'!$U:$U,'Physical Condition Assessment'!$J:$J,"!!!!!",0)</f>
        <v>0</v>
      </c>
      <c r="F76" s="469">
        <f>_xlfn.XLOOKUP($A76,'Physical Condition Assessment'!$U:$U,'Physical Condition Assessment'!$L:$L,"!!!!!",0)</f>
        <v>0</v>
      </c>
      <c r="G76" s="469">
        <f>_xlfn.XLOOKUP($A76,'Physical Condition Assessment'!$U:$U,'Physical Condition Assessment'!$N:$N,"!!!!!",0)</f>
        <v>0</v>
      </c>
      <c r="H76" s="469">
        <f>_xlfn.XLOOKUP($A76,'Physical Condition Assessment'!$U:$U,'Physical Condition Assessment'!$P:$P,"!!!!!",0)</f>
        <v>0</v>
      </c>
      <c r="I76" s="525">
        <f>_xlfn.XLOOKUP($A76,'Physical Condition Assessment'!$U:$U,'Physical Condition Assessment'!$R:$R,"!!!!!",0)</f>
        <v>0</v>
      </c>
      <c r="J76" s="471">
        <f>_xlfn.XLOOKUP($A76,'Physical Condition Assessment'!$U:$U,'Physical Condition Assessment'!$S:$S,"!!!!!",0)</f>
        <v>0</v>
      </c>
      <c r="K76" s="469">
        <f>_xlfn.XLOOKUP($A76,'Physical Condition Assessment'!$U:$U,'Physical Condition Assessment'!$T:$T,"!!!!!",0)</f>
        <v>0</v>
      </c>
      <c r="L76" s="502" t="str">
        <f>_xlfn.XLOOKUP($A76,'Physical Condition Assessment'!$U:$U,'Physical Condition Assessment'!$V:$V,"missing",0)</f>
        <v>Interior Structure</v>
      </c>
      <c r="M76" s="469" t="str">
        <f>_xlfn.XLOOKUP($A76,'Physical Condition Assessment'!$U:$U,'Physical Condition Assessment'!$AE:$AE,"!!!!!",0)</f>
        <v>Unit</v>
      </c>
      <c r="N76" s="471">
        <f>_xlfn.XLOOKUP($A76,'Physical Condition Assessment'!$U:$U,'Physical Condition Assessment'!$AP:$AP,"!!!!!",0)</f>
        <v>0</v>
      </c>
      <c r="O76" s="526">
        <f t="shared" si="4"/>
        <v>0</v>
      </c>
      <c r="P76" s="502" t="str">
        <f t="shared" si="5"/>
        <v>Green</v>
      </c>
      <c r="R76" s="502" t="str">
        <f t="shared" si="6"/>
        <v/>
      </c>
      <c r="S76" s="502" t="str">
        <f t="shared" si="7"/>
        <v/>
      </c>
      <c r="T76" s="95" t="s">
        <v>670</v>
      </c>
      <c r="U76" s="95" t="s">
        <v>679</v>
      </c>
      <c r="V76" s="95" t="s">
        <v>680</v>
      </c>
      <c r="W76" s="95" t="s">
        <v>665</v>
      </c>
      <c r="X76" s="95" t="s">
        <v>524</v>
      </c>
      <c r="Y76" s="95" t="s">
        <v>83</v>
      </c>
    </row>
    <row r="77" spans="1:26" x14ac:dyDescent="0.2">
      <c r="A77" s="502" t="s">
        <v>203</v>
      </c>
      <c r="B77" s="469">
        <f>_xlfn.XLOOKUP($A77,'Physical Condition Assessment'!$U:$U,'Physical Condition Assessment'!$E:$E,"!!!!!",0)</f>
        <v>0</v>
      </c>
      <c r="C77" s="469">
        <f>_xlfn.XLOOKUP($A77,'Physical Condition Assessment'!$U:$U,'Physical Condition Assessment'!$F:$F,"!!!!!",0)</f>
        <v>0</v>
      </c>
      <c r="D77" s="469">
        <f>_xlfn.XLOOKUP($A77,'Physical Condition Assessment'!$U:$U,'Physical Condition Assessment'!$H:$H,"!!!!!",0)</f>
        <v>0</v>
      </c>
      <c r="E77" s="469">
        <f>_xlfn.XLOOKUP($A77,'Physical Condition Assessment'!$U:$U,'Physical Condition Assessment'!$J:$J,"!!!!!",0)</f>
        <v>0</v>
      </c>
      <c r="F77" s="469">
        <f>_xlfn.XLOOKUP($A77,'Physical Condition Assessment'!$U:$U,'Physical Condition Assessment'!$L:$L,"!!!!!",0)</f>
        <v>0</v>
      </c>
      <c r="G77" s="469">
        <f>_xlfn.XLOOKUP($A77,'Physical Condition Assessment'!$U:$U,'Physical Condition Assessment'!$N:$N,"!!!!!",0)</f>
        <v>0</v>
      </c>
      <c r="H77" s="469">
        <f>_xlfn.XLOOKUP($A77,'Physical Condition Assessment'!$U:$U,'Physical Condition Assessment'!$P:$P,"!!!!!",0)</f>
        <v>0</v>
      </c>
      <c r="I77" s="525">
        <f>_xlfn.XLOOKUP($A77,'Physical Condition Assessment'!$U:$U,'Physical Condition Assessment'!$R:$R,"!!!!!",0)</f>
        <v>0</v>
      </c>
      <c r="J77" s="471">
        <f>_xlfn.XLOOKUP($A77,'Physical Condition Assessment'!$U:$U,'Physical Condition Assessment'!$S:$S,"!!!!!",0)</f>
        <v>0</v>
      </c>
      <c r="K77" s="469">
        <f>_xlfn.XLOOKUP($A77,'Physical Condition Assessment'!$U:$U,'Physical Condition Assessment'!$T:$T,"!!!!!",0)</f>
        <v>0</v>
      </c>
      <c r="L77" s="502" t="str">
        <f>_xlfn.XLOOKUP($A77,'Physical Condition Assessment'!$U:$U,'Physical Condition Assessment'!$V:$V,"missing",0)</f>
        <v>Interior Structure</v>
      </c>
      <c r="M77" s="469" t="str">
        <f>_xlfn.XLOOKUP($A77,'Physical Condition Assessment'!$U:$U,'Physical Condition Assessment'!$AE:$AE,"!!!!!",0)</f>
        <v>SF</v>
      </c>
      <c r="N77" s="471">
        <f>_xlfn.XLOOKUP($A77,'Physical Condition Assessment'!$U:$U,'Physical Condition Assessment'!$AP:$AP,"!!!!!",0)</f>
        <v>0</v>
      </c>
      <c r="O77" s="526">
        <f t="shared" si="4"/>
        <v>0</v>
      </c>
      <c r="P77" s="502" t="str">
        <f t="shared" si="5"/>
        <v>Green</v>
      </c>
      <c r="R77" s="502" t="str">
        <f t="shared" si="6"/>
        <v/>
      </c>
      <c r="S77" s="502" t="str">
        <f t="shared" si="7"/>
        <v/>
      </c>
      <c r="T77" s="95" t="s">
        <v>681</v>
      </c>
      <c r="U77" s="95" t="s">
        <v>682</v>
      </c>
      <c r="V77" s="95" t="s">
        <v>683</v>
      </c>
      <c r="W77" s="95" t="s">
        <v>499</v>
      </c>
      <c r="X77" s="95" t="s">
        <v>524</v>
      </c>
      <c r="Y77" s="95" t="s">
        <v>528</v>
      </c>
      <c r="Z77" s="95" t="s">
        <v>529</v>
      </c>
    </row>
    <row r="78" spans="1:26" x14ac:dyDescent="0.2">
      <c r="A78" s="502" t="s">
        <v>201</v>
      </c>
      <c r="B78" s="469">
        <f>_xlfn.XLOOKUP($A78,'Physical Condition Assessment'!$U:$U,'Physical Condition Assessment'!$E:$E,"!!!!!",0)</f>
        <v>0</v>
      </c>
      <c r="C78" s="469">
        <f>_xlfn.XLOOKUP($A78,'Physical Condition Assessment'!$U:$U,'Physical Condition Assessment'!$F:$F,"!!!!!",0)</f>
        <v>0</v>
      </c>
      <c r="D78" s="469">
        <f>_xlfn.XLOOKUP($A78,'Physical Condition Assessment'!$U:$U,'Physical Condition Assessment'!$H:$H,"!!!!!",0)</f>
        <v>0</v>
      </c>
      <c r="E78" s="469">
        <f>_xlfn.XLOOKUP($A78,'Physical Condition Assessment'!$U:$U,'Physical Condition Assessment'!$J:$J,"!!!!!",0)</f>
        <v>0</v>
      </c>
      <c r="F78" s="469">
        <f>_xlfn.XLOOKUP($A78,'Physical Condition Assessment'!$U:$U,'Physical Condition Assessment'!$L:$L,"!!!!!",0)</f>
        <v>0</v>
      </c>
      <c r="G78" s="469">
        <f>_xlfn.XLOOKUP($A78,'Physical Condition Assessment'!$U:$U,'Physical Condition Assessment'!$N:$N,"!!!!!",0)</f>
        <v>0</v>
      </c>
      <c r="H78" s="469">
        <f>_xlfn.XLOOKUP($A78,'Physical Condition Assessment'!$U:$U,'Physical Condition Assessment'!$P:$P,"!!!!!",0)</f>
        <v>0</v>
      </c>
      <c r="I78" s="525">
        <f>_xlfn.XLOOKUP($A78,'Physical Condition Assessment'!$U:$U,'Physical Condition Assessment'!$R:$R,"!!!!!",0)</f>
        <v>0</v>
      </c>
      <c r="J78" s="471">
        <f>_xlfn.XLOOKUP($A78,'Physical Condition Assessment'!$U:$U,'Physical Condition Assessment'!$S:$S,"!!!!!",0)</f>
        <v>0</v>
      </c>
      <c r="K78" s="469">
        <f>_xlfn.XLOOKUP($A78,'Physical Condition Assessment'!$U:$U,'Physical Condition Assessment'!$T:$T,"!!!!!",0)</f>
        <v>0</v>
      </c>
      <c r="L78" s="502" t="str">
        <f>_xlfn.XLOOKUP($A78,'Physical Condition Assessment'!$U:$U,'Physical Condition Assessment'!$V:$V,"missing",0)</f>
        <v>Interior Structure</v>
      </c>
      <c r="M78" s="469" t="str">
        <f>_xlfn.XLOOKUP($A78,'Physical Condition Assessment'!$U:$U,'Physical Condition Assessment'!$AE:$AE,"!!!!!",0)</f>
        <v>SF</v>
      </c>
      <c r="N78" s="471">
        <f>_xlfn.XLOOKUP($A78,'Physical Condition Assessment'!$U:$U,'Physical Condition Assessment'!$AP:$AP,"!!!!!",0)</f>
        <v>0</v>
      </c>
      <c r="O78" s="526">
        <f t="shared" si="4"/>
        <v>0</v>
      </c>
      <c r="P78" s="502" t="str">
        <f t="shared" si="5"/>
        <v>Green</v>
      </c>
      <c r="R78" s="502" t="str">
        <f t="shared" si="6"/>
        <v/>
      </c>
      <c r="S78" s="502" t="str">
        <f t="shared" si="7"/>
        <v/>
      </c>
      <c r="T78" s="95" t="s">
        <v>681</v>
      </c>
      <c r="U78" s="95" t="s">
        <v>684</v>
      </c>
      <c r="V78" s="95" t="s">
        <v>685</v>
      </c>
      <c r="W78" s="95" t="s">
        <v>499</v>
      </c>
      <c r="X78" s="95" t="s">
        <v>524</v>
      </c>
      <c r="Y78" s="95" t="s">
        <v>200</v>
      </c>
    </row>
    <row r="79" spans="1:26" x14ac:dyDescent="0.2">
      <c r="A79" s="502" t="s">
        <v>191</v>
      </c>
      <c r="B79" s="469">
        <f>_xlfn.XLOOKUP($A79,'Physical Condition Assessment'!$U:$U,'Physical Condition Assessment'!$E:$E,"!!!!!",0)</f>
        <v>0</v>
      </c>
      <c r="C79" s="469">
        <f>_xlfn.XLOOKUP($A79,'Physical Condition Assessment'!$U:$U,'Physical Condition Assessment'!$F:$F,"!!!!!",0)</f>
        <v>0</v>
      </c>
      <c r="D79" s="469">
        <f>_xlfn.XLOOKUP($A79,'Physical Condition Assessment'!$U:$U,'Physical Condition Assessment'!$H:$H,"!!!!!",0)</f>
        <v>0</v>
      </c>
      <c r="E79" s="469">
        <f>_xlfn.XLOOKUP($A79,'Physical Condition Assessment'!$U:$U,'Physical Condition Assessment'!$J:$J,"!!!!!",0)</f>
        <v>0</v>
      </c>
      <c r="F79" s="469">
        <f>_xlfn.XLOOKUP($A79,'Physical Condition Assessment'!$U:$U,'Physical Condition Assessment'!$L:$L,"!!!!!",0)</f>
        <v>0</v>
      </c>
      <c r="G79" s="469">
        <f>_xlfn.XLOOKUP($A79,'Physical Condition Assessment'!$U:$U,'Physical Condition Assessment'!$N:$N,"!!!!!",0)</f>
        <v>0</v>
      </c>
      <c r="H79" s="469">
        <f>_xlfn.XLOOKUP($A79,'Physical Condition Assessment'!$U:$U,'Physical Condition Assessment'!$P:$P,"!!!!!",0)</f>
        <v>0</v>
      </c>
      <c r="I79" s="525">
        <f>_xlfn.XLOOKUP($A79,'Physical Condition Assessment'!$U:$U,'Physical Condition Assessment'!$R:$R,"!!!!!",0)</f>
        <v>0</v>
      </c>
      <c r="J79" s="471">
        <f>_xlfn.XLOOKUP($A79,'Physical Condition Assessment'!$U:$U,'Physical Condition Assessment'!$S:$S,"!!!!!",0)</f>
        <v>0</v>
      </c>
      <c r="K79" s="469">
        <f>_xlfn.XLOOKUP($A79,'Physical Condition Assessment'!$U:$U,'Physical Condition Assessment'!$T:$T,"!!!!!",0)</f>
        <v>0</v>
      </c>
      <c r="L79" s="502" t="str">
        <f>_xlfn.XLOOKUP($A79,'Physical Condition Assessment'!$U:$U,'Physical Condition Assessment'!$V:$V,"missing",0)</f>
        <v>Interior Structure</v>
      </c>
      <c r="M79" s="469" t="str">
        <f>_xlfn.XLOOKUP($A79,'Physical Condition Assessment'!$U:$U,'Physical Condition Assessment'!$AE:$AE,"!!!!!",0)</f>
        <v>SF</v>
      </c>
      <c r="N79" s="471">
        <f>_xlfn.XLOOKUP($A79,'Physical Condition Assessment'!$U:$U,'Physical Condition Assessment'!$AP:$AP,"!!!!!",0)</f>
        <v>0</v>
      </c>
      <c r="O79" s="526">
        <f t="shared" si="4"/>
        <v>0</v>
      </c>
      <c r="P79" s="502" t="str">
        <f t="shared" si="5"/>
        <v>Green</v>
      </c>
      <c r="R79" s="502" t="str">
        <f t="shared" si="6"/>
        <v/>
      </c>
      <c r="S79" s="502" t="str">
        <f t="shared" si="7"/>
        <v/>
      </c>
      <c r="T79" s="95" t="s">
        <v>681</v>
      </c>
      <c r="U79" s="95" t="s">
        <v>686</v>
      </c>
      <c r="V79" s="95" t="s">
        <v>687</v>
      </c>
      <c r="W79" s="95" t="s">
        <v>499</v>
      </c>
      <c r="X79" s="95" t="s">
        <v>524</v>
      </c>
      <c r="Y79" s="95" t="s">
        <v>688</v>
      </c>
      <c r="Z79" s="95" t="s">
        <v>559</v>
      </c>
    </row>
    <row r="80" spans="1:26" x14ac:dyDescent="0.2">
      <c r="A80" s="502" t="s">
        <v>199</v>
      </c>
      <c r="B80" s="469">
        <f>_xlfn.XLOOKUP($A80,'Physical Condition Assessment'!$U:$U,'Physical Condition Assessment'!$E:$E,"!!!!!",0)</f>
        <v>0</v>
      </c>
      <c r="C80" s="469">
        <f>_xlfn.XLOOKUP($A80,'Physical Condition Assessment'!$U:$U,'Physical Condition Assessment'!$F:$F,"!!!!!",0)</f>
        <v>0</v>
      </c>
      <c r="D80" s="469">
        <f>_xlfn.XLOOKUP($A80,'Physical Condition Assessment'!$U:$U,'Physical Condition Assessment'!$H:$H,"!!!!!",0)</f>
        <v>0</v>
      </c>
      <c r="E80" s="469">
        <f>_xlfn.XLOOKUP($A80,'Physical Condition Assessment'!$U:$U,'Physical Condition Assessment'!$J:$J,"!!!!!",0)</f>
        <v>0</v>
      </c>
      <c r="F80" s="469">
        <f>_xlfn.XLOOKUP($A80,'Physical Condition Assessment'!$U:$U,'Physical Condition Assessment'!$L:$L,"!!!!!",0)</f>
        <v>0</v>
      </c>
      <c r="G80" s="469">
        <f>_xlfn.XLOOKUP($A80,'Physical Condition Assessment'!$U:$U,'Physical Condition Assessment'!$N:$N,"!!!!!",0)</f>
        <v>0</v>
      </c>
      <c r="H80" s="469">
        <f>_xlfn.XLOOKUP($A80,'Physical Condition Assessment'!$U:$U,'Physical Condition Assessment'!$P:$P,"!!!!!",0)</f>
        <v>0</v>
      </c>
      <c r="I80" s="525">
        <f>_xlfn.XLOOKUP($A80,'Physical Condition Assessment'!$U:$U,'Physical Condition Assessment'!$R:$R,"!!!!!",0)</f>
        <v>0</v>
      </c>
      <c r="J80" s="471">
        <f>_xlfn.XLOOKUP($A80,'Physical Condition Assessment'!$U:$U,'Physical Condition Assessment'!$S:$S,"!!!!!",0)</f>
        <v>0</v>
      </c>
      <c r="K80" s="469">
        <f>_xlfn.XLOOKUP($A80,'Physical Condition Assessment'!$U:$U,'Physical Condition Assessment'!$T:$T,"!!!!!",0)</f>
        <v>0</v>
      </c>
      <c r="L80" s="502" t="str">
        <f>_xlfn.XLOOKUP($A80,'Physical Condition Assessment'!$U:$U,'Physical Condition Assessment'!$V:$V,"missing",0)</f>
        <v>Interior Structure</v>
      </c>
      <c r="M80" s="469" t="str">
        <f>_xlfn.XLOOKUP($A80,'Physical Condition Assessment'!$U:$U,'Physical Condition Assessment'!$AE:$AE,"!!!!!",0)</f>
        <v>SF</v>
      </c>
      <c r="N80" s="471">
        <f>_xlfn.XLOOKUP($A80,'Physical Condition Assessment'!$U:$U,'Physical Condition Assessment'!$AP:$AP,"!!!!!",0)</f>
        <v>0</v>
      </c>
      <c r="O80" s="526">
        <f t="shared" si="4"/>
        <v>0</v>
      </c>
      <c r="P80" s="502" t="str">
        <f t="shared" si="5"/>
        <v>Green</v>
      </c>
      <c r="R80" s="502" t="str">
        <f t="shared" si="6"/>
        <v/>
      </c>
      <c r="S80" s="502" t="str">
        <f t="shared" si="7"/>
        <v/>
      </c>
      <c r="T80" s="95" t="s">
        <v>681</v>
      </c>
      <c r="U80" s="95" t="s">
        <v>689</v>
      </c>
      <c r="V80" s="95" t="s">
        <v>690</v>
      </c>
      <c r="W80" s="95" t="s">
        <v>499</v>
      </c>
      <c r="X80" s="95" t="s">
        <v>524</v>
      </c>
      <c r="Y80" s="95" t="s">
        <v>691</v>
      </c>
      <c r="Z80" s="95" t="s">
        <v>692</v>
      </c>
    </row>
    <row r="81" spans="1:26" x14ac:dyDescent="0.2">
      <c r="A81" s="502" t="s">
        <v>195</v>
      </c>
      <c r="B81" s="469">
        <f>_xlfn.XLOOKUP($A81,'Physical Condition Assessment'!$U:$U,'Physical Condition Assessment'!$E:$E,"!!!!!",0)</f>
        <v>0</v>
      </c>
      <c r="C81" s="469">
        <f>_xlfn.XLOOKUP($A81,'Physical Condition Assessment'!$U:$U,'Physical Condition Assessment'!$F:$F,"!!!!!",0)</f>
        <v>0</v>
      </c>
      <c r="D81" s="469">
        <f>_xlfn.XLOOKUP($A81,'Physical Condition Assessment'!$U:$U,'Physical Condition Assessment'!$H:$H,"!!!!!",0)</f>
        <v>0</v>
      </c>
      <c r="E81" s="469">
        <f>_xlfn.XLOOKUP($A81,'Physical Condition Assessment'!$U:$U,'Physical Condition Assessment'!$J:$J,"!!!!!",0)</f>
        <v>0</v>
      </c>
      <c r="F81" s="469">
        <f>_xlfn.XLOOKUP($A81,'Physical Condition Assessment'!$U:$U,'Physical Condition Assessment'!$L:$L,"!!!!!",0)</f>
        <v>0</v>
      </c>
      <c r="G81" s="469">
        <f>_xlfn.XLOOKUP($A81,'Physical Condition Assessment'!$U:$U,'Physical Condition Assessment'!$N:$N,"!!!!!",0)</f>
        <v>0</v>
      </c>
      <c r="H81" s="469">
        <f>_xlfn.XLOOKUP($A81,'Physical Condition Assessment'!$U:$U,'Physical Condition Assessment'!$P:$P,"!!!!!",0)</f>
        <v>0</v>
      </c>
      <c r="I81" s="525">
        <f>_xlfn.XLOOKUP($A81,'Physical Condition Assessment'!$U:$U,'Physical Condition Assessment'!$R:$R,"!!!!!",0)</f>
        <v>0</v>
      </c>
      <c r="J81" s="471">
        <f>_xlfn.XLOOKUP($A81,'Physical Condition Assessment'!$U:$U,'Physical Condition Assessment'!$S:$S,"!!!!!",0)</f>
        <v>0</v>
      </c>
      <c r="K81" s="469">
        <f>_xlfn.XLOOKUP($A81,'Physical Condition Assessment'!$U:$U,'Physical Condition Assessment'!$T:$T,"!!!!!",0)</f>
        <v>0</v>
      </c>
      <c r="L81" s="502" t="str">
        <f>_xlfn.XLOOKUP($A81,'Physical Condition Assessment'!$U:$U,'Physical Condition Assessment'!$V:$V,"missing",0)</f>
        <v>Interior Structure</v>
      </c>
      <c r="M81" s="469" t="str">
        <f>_xlfn.XLOOKUP($A81,'Physical Condition Assessment'!$U:$U,'Physical Condition Assessment'!$AE:$AE,"!!!!!",0)</f>
        <v>SF</v>
      </c>
      <c r="N81" s="471">
        <f>_xlfn.XLOOKUP($A81,'Physical Condition Assessment'!$U:$U,'Physical Condition Assessment'!$AP:$AP,"!!!!!",0)</f>
        <v>0</v>
      </c>
      <c r="O81" s="526">
        <f t="shared" si="4"/>
        <v>0</v>
      </c>
      <c r="P81" s="502" t="str">
        <f t="shared" si="5"/>
        <v>Green</v>
      </c>
      <c r="R81" s="502" t="str">
        <f t="shared" si="6"/>
        <v/>
      </c>
      <c r="S81" s="502" t="str">
        <f t="shared" si="7"/>
        <v/>
      </c>
      <c r="T81" s="95" t="s">
        <v>681</v>
      </c>
      <c r="U81" s="95" t="s">
        <v>693</v>
      </c>
      <c r="V81" s="95" t="s">
        <v>694</v>
      </c>
      <c r="X81" s="95" t="s">
        <v>524</v>
      </c>
      <c r="Y81" s="95" t="s">
        <v>194</v>
      </c>
    </row>
    <row r="82" spans="1:26" x14ac:dyDescent="0.2">
      <c r="A82" s="502" t="s">
        <v>193</v>
      </c>
      <c r="B82" s="469">
        <f>_xlfn.XLOOKUP($A82,'Physical Condition Assessment'!$U:$U,'Physical Condition Assessment'!$E:$E,"!!!!!",0)</f>
        <v>0</v>
      </c>
      <c r="C82" s="469">
        <f>_xlfn.XLOOKUP($A82,'Physical Condition Assessment'!$U:$U,'Physical Condition Assessment'!$F:$F,"!!!!!",0)</f>
        <v>0</v>
      </c>
      <c r="D82" s="469">
        <f>_xlfn.XLOOKUP($A82,'Physical Condition Assessment'!$U:$U,'Physical Condition Assessment'!$H:$H,"!!!!!",0)</f>
        <v>0</v>
      </c>
      <c r="E82" s="469">
        <f>_xlfn.XLOOKUP($A82,'Physical Condition Assessment'!$U:$U,'Physical Condition Assessment'!$J:$J,"!!!!!",0)</f>
        <v>0</v>
      </c>
      <c r="F82" s="469">
        <f>_xlfn.XLOOKUP($A82,'Physical Condition Assessment'!$U:$U,'Physical Condition Assessment'!$L:$L,"!!!!!",0)</f>
        <v>0</v>
      </c>
      <c r="G82" s="469">
        <f>_xlfn.XLOOKUP($A82,'Physical Condition Assessment'!$U:$U,'Physical Condition Assessment'!$N:$N,"!!!!!",0)</f>
        <v>0</v>
      </c>
      <c r="H82" s="469">
        <f>_xlfn.XLOOKUP($A82,'Physical Condition Assessment'!$U:$U,'Physical Condition Assessment'!$P:$P,"!!!!!",0)</f>
        <v>0</v>
      </c>
      <c r="I82" s="525">
        <f>_xlfn.XLOOKUP($A82,'Physical Condition Assessment'!$U:$U,'Physical Condition Assessment'!$R:$R,"!!!!!",0)</f>
        <v>0</v>
      </c>
      <c r="J82" s="471">
        <f>_xlfn.XLOOKUP($A82,'Physical Condition Assessment'!$U:$U,'Physical Condition Assessment'!$S:$S,"!!!!!",0)</f>
        <v>0</v>
      </c>
      <c r="K82" s="469">
        <f>_xlfn.XLOOKUP($A82,'Physical Condition Assessment'!$U:$U,'Physical Condition Assessment'!$T:$T,"!!!!!",0)</f>
        <v>0</v>
      </c>
      <c r="L82" s="502" t="str">
        <f>_xlfn.XLOOKUP($A82,'Physical Condition Assessment'!$U:$U,'Physical Condition Assessment'!$V:$V,"missing",0)</f>
        <v>Interior Structure</v>
      </c>
      <c r="M82" s="469" t="str">
        <f>_xlfn.XLOOKUP($A82,'Physical Condition Assessment'!$U:$U,'Physical Condition Assessment'!$AE:$AE,"!!!!!",0)</f>
        <v>SF</v>
      </c>
      <c r="N82" s="471">
        <f>_xlfn.XLOOKUP($A82,'Physical Condition Assessment'!$U:$U,'Physical Condition Assessment'!$AP:$AP,"!!!!!",0)</f>
        <v>0</v>
      </c>
      <c r="O82" s="526">
        <f t="shared" si="4"/>
        <v>0</v>
      </c>
      <c r="P82" s="502" t="str">
        <f t="shared" si="5"/>
        <v>Green</v>
      </c>
      <c r="R82" s="502" t="str">
        <f t="shared" si="6"/>
        <v/>
      </c>
      <c r="S82" s="502" t="str">
        <f t="shared" si="7"/>
        <v/>
      </c>
      <c r="T82" s="95" t="s">
        <v>681</v>
      </c>
      <c r="U82" s="95" t="s">
        <v>695</v>
      </c>
      <c r="V82" s="95" t="s">
        <v>696</v>
      </c>
      <c r="X82" s="95" t="s">
        <v>524</v>
      </c>
      <c r="Y82" s="95" t="s">
        <v>192</v>
      </c>
    </row>
    <row r="83" spans="1:26" x14ac:dyDescent="0.2">
      <c r="A83" s="502" t="s">
        <v>197</v>
      </c>
      <c r="B83" s="469">
        <f>_xlfn.XLOOKUP($A83,'Physical Condition Assessment'!$U:$U,'Physical Condition Assessment'!$E:$E,"!!!!!",0)</f>
        <v>0</v>
      </c>
      <c r="C83" s="469">
        <f>_xlfn.XLOOKUP($A83,'Physical Condition Assessment'!$U:$U,'Physical Condition Assessment'!$F:$F,"!!!!!",0)</f>
        <v>0</v>
      </c>
      <c r="D83" s="469">
        <f>_xlfn.XLOOKUP($A83,'Physical Condition Assessment'!$U:$U,'Physical Condition Assessment'!$H:$H,"!!!!!",0)</f>
        <v>0</v>
      </c>
      <c r="E83" s="469">
        <f>_xlfn.XLOOKUP($A83,'Physical Condition Assessment'!$U:$U,'Physical Condition Assessment'!$J:$J,"!!!!!",0)</f>
        <v>0</v>
      </c>
      <c r="F83" s="469">
        <f>_xlfn.XLOOKUP($A83,'Physical Condition Assessment'!$U:$U,'Physical Condition Assessment'!$L:$L,"!!!!!",0)</f>
        <v>0</v>
      </c>
      <c r="G83" s="469">
        <f>_xlfn.XLOOKUP($A83,'Physical Condition Assessment'!$U:$U,'Physical Condition Assessment'!$N:$N,"!!!!!",0)</f>
        <v>0</v>
      </c>
      <c r="H83" s="469">
        <f>_xlfn.XLOOKUP($A83,'Physical Condition Assessment'!$U:$U,'Physical Condition Assessment'!$P:$P,"!!!!!",0)</f>
        <v>0</v>
      </c>
      <c r="I83" s="525">
        <f>_xlfn.XLOOKUP($A83,'Physical Condition Assessment'!$U:$U,'Physical Condition Assessment'!$R:$R,"!!!!!",0)</f>
        <v>0</v>
      </c>
      <c r="J83" s="471">
        <f>_xlfn.XLOOKUP($A83,'Physical Condition Assessment'!$U:$U,'Physical Condition Assessment'!$S:$S,"!!!!!",0)</f>
        <v>0</v>
      </c>
      <c r="K83" s="469">
        <f>_xlfn.XLOOKUP($A83,'Physical Condition Assessment'!$U:$U,'Physical Condition Assessment'!$T:$T,"!!!!!",0)</f>
        <v>0</v>
      </c>
      <c r="L83" s="502" t="str">
        <f>_xlfn.XLOOKUP($A83,'Physical Condition Assessment'!$U:$U,'Physical Condition Assessment'!$V:$V,"missing",0)</f>
        <v>Interior Structure</v>
      </c>
      <c r="M83" s="469" t="str">
        <f>_xlfn.XLOOKUP($A83,'Physical Condition Assessment'!$U:$U,'Physical Condition Assessment'!$AE:$AE,"!!!!!",0)</f>
        <v>SF</v>
      </c>
      <c r="N83" s="471">
        <f>_xlfn.XLOOKUP($A83,'Physical Condition Assessment'!$U:$U,'Physical Condition Assessment'!$AP:$AP,"!!!!!",0)</f>
        <v>0</v>
      </c>
      <c r="O83" s="526">
        <f t="shared" si="4"/>
        <v>0</v>
      </c>
      <c r="P83" s="502" t="str">
        <f t="shared" si="5"/>
        <v>Green</v>
      </c>
      <c r="R83" s="502" t="str">
        <f t="shared" si="6"/>
        <v/>
      </c>
      <c r="S83" s="502" t="str">
        <f t="shared" si="7"/>
        <v/>
      </c>
      <c r="T83" s="95" t="s">
        <v>681</v>
      </c>
      <c r="U83" s="95" t="s">
        <v>697</v>
      </c>
      <c r="V83" s="95" t="s">
        <v>698</v>
      </c>
      <c r="W83" s="95" t="s">
        <v>499</v>
      </c>
      <c r="X83" s="95" t="s">
        <v>524</v>
      </c>
      <c r="Y83" s="95" t="s">
        <v>83</v>
      </c>
      <c r="Z83" s="95" t="s">
        <v>692</v>
      </c>
    </row>
    <row r="84" spans="1:26" x14ac:dyDescent="0.2">
      <c r="A84" s="502" t="s">
        <v>224</v>
      </c>
      <c r="B84" s="469">
        <f>_xlfn.XLOOKUP($A84,'Physical Condition Assessment'!$U:$U,'Physical Condition Assessment'!$E:$E,"!!!!!",0)</f>
        <v>0</v>
      </c>
      <c r="C84" s="469">
        <f>_xlfn.XLOOKUP($A84,'Physical Condition Assessment'!$U:$U,'Physical Condition Assessment'!$F:$F,"!!!!!",0)</f>
        <v>0</v>
      </c>
      <c r="D84" s="469">
        <f>_xlfn.XLOOKUP($A84,'Physical Condition Assessment'!$U:$U,'Physical Condition Assessment'!$H:$H,"!!!!!",0)</f>
        <v>0</v>
      </c>
      <c r="E84" s="469">
        <f>_xlfn.XLOOKUP($A84,'Physical Condition Assessment'!$U:$U,'Physical Condition Assessment'!$J:$J,"!!!!!",0)</f>
        <v>0</v>
      </c>
      <c r="F84" s="469">
        <f>_xlfn.XLOOKUP($A84,'Physical Condition Assessment'!$U:$U,'Physical Condition Assessment'!$L:$L,"!!!!!",0)</f>
        <v>0</v>
      </c>
      <c r="G84" s="469">
        <f>_xlfn.XLOOKUP($A84,'Physical Condition Assessment'!$U:$U,'Physical Condition Assessment'!$N:$N,"!!!!!",0)</f>
        <v>0</v>
      </c>
      <c r="H84" s="469">
        <f>_xlfn.XLOOKUP($A84,'Physical Condition Assessment'!$U:$U,'Physical Condition Assessment'!$P:$P,"!!!!!",0)</f>
        <v>0</v>
      </c>
      <c r="I84" s="525">
        <f>_xlfn.XLOOKUP($A84,'Physical Condition Assessment'!$U:$U,'Physical Condition Assessment'!$R:$R,"!!!!!",0)</f>
        <v>0</v>
      </c>
      <c r="J84" s="471">
        <f>_xlfn.XLOOKUP($A84,'Physical Condition Assessment'!$U:$U,'Physical Condition Assessment'!$S:$S,"!!!!!",0)</f>
        <v>0</v>
      </c>
      <c r="K84" s="469">
        <f>_xlfn.XLOOKUP($A84,'Physical Condition Assessment'!$U:$U,'Physical Condition Assessment'!$T:$T,"!!!!!",0)</f>
        <v>0</v>
      </c>
      <c r="L84" s="502" t="str">
        <f>_xlfn.XLOOKUP($A84,'Physical Condition Assessment'!$U:$U,'Physical Condition Assessment'!$V:$V,"missing",0)</f>
        <v>Interior Structure</v>
      </c>
      <c r="M84" s="469" t="str">
        <f>_xlfn.XLOOKUP($A84,'Physical Condition Assessment'!$U:$U,'Physical Condition Assessment'!$AE:$AE,"!!!!!",0)</f>
        <v>SF</v>
      </c>
      <c r="N84" s="471">
        <f>_xlfn.XLOOKUP($A84,'Physical Condition Assessment'!$U:$U,'Physical Condition Assessment'!$AP:$AP,"!!!!!",0)</f>
        <v>0</v>
      </c>
      <c r="O84" s="526">
        <f t="shared" si="4"/>
        <v>0</v>
      </c>
      <c r="P84" s="502" t="str">
        <f t="shared" si="5"/>
        <v>Green</v>
      </c>
      <c r="R84" s="502" t="str">
        <f t="shared" si="6"/>
        <v/>
      </c>
      <c r="S84" s="502" t="str">
        <f t="shared" si="7"/>
        <v/>
      </c>
      <c r="T84" s="95" t="s">
        <v>699</v>
      </c>
      <c r="U84" s="95" t="s">
        <v>700</v>
      </c>
      <c r="V84" s="95" t="s">
        <v>701</v>
      </c>
      <c r="W84" s="95" t="s">
        <v>702</v>
      </c>
      <c r="X84" s="95" t="s">
        <v>524</v>
      </c>
      <c r="Y84" s="95" t="s">
        <v>703</v>
      </c>
    </row>
    <row r="85" spans="1:26" x14ac:dyDescent="0.2">
      <c r="A85" s="502" t="s">
        <v>222</v>
      </c>
      <c r="B85" s="469">
        <f>_xlfn.XLOOKUP($A85,'Physical Condition Assessment'!$U:$U,'Physical Condition Assessment'!$E:$E,"!!!!!",0)</f>
        <v>0</v>
      </c>
      <c r="C85" s="469">
        <f>_xlfn.XLOOKUP($A85,'Physical Condition Assessment'!$U:$U,'Physical Condition Assessment'!$F:$F,"!!!!!",0)</f>
        <v>0</v>
      </c>
      <c r="D85" s="469">
        <f>_xlfn.XLOOKUP($A85,'Physical Condition Assessment'!$U:$U,'Physical Condition Assessment'!$H:$H,"!!!!!",0)</f>
        <v>0</v>
      </c>
      <c r="E85" s="469">
        <f>_xlfn.XLOOKUP($A85,'Physical Condition Assessment'!$U:$U,'Physical Condition Assessment'!$J:$J,"!!!!!",0)</f>
        <v>0</v>
      </c>
      <c r="F85" s="469">
        <f>_xlfn.XLOOKUP($A85,'Physical Condition Assessment'!$U:$U,'Physical Condition Assessment'!$L:$L,"!!!!!",0)</f>
        <v>0</v>
      </c>
      <c r="G85" s="469">
        <f>_xlfn.XLOOKUP($A85,'Physical Condition Assessment'!$U:$U,'Physical Condition Assessment'!$N:$N,"!!!!!",0)</f>
        <v>0</v>
      </c>
      <c r="H85" s="469">
        <f>_xlfn.XLOOKUP($A85,'Physical Condition Assessment'!$U:$U,'Physical Condition Assessment'!$P:$P,"!!!!!",0)</f>
        <v>0</v>
      </c>
      <c r="I85" s="525">
        <f>_xlfn.XLOOKUP($A85,'Physical Condition Assessment'!$U:$U,'Physical Condition Assessment'!$R:$R,"!!!!!",0)</f>
        <v>0</v>
      </c>
      <c r="J85" s="471">
        <f>_xlfn.XLOOKUP($A85,'Physical Condition Assessment'!$U:$U,'Physical Condition Assessment'!$S:$S,"!!!!!",0)</f>
        <v>0</v>
      </c>
      <c r="K85" s="469">
        <f>_xlfn.XLOOKUP($A85,'Physical Condition Assessment'!$U:$U,'Physical Condition Assessment'!$T:$T,"!!!!!",0)</f>
        <v>0</v>
      </c>
      <c r="L85" s="502" t="str">
        <f>_xlfn.XLOOKUP($A85,'Physical Condition Assessment'!$U:$U,'Physical Condition Assessment'!$V:$V,"missing",0)</f>
        <v>Interior Structure</v>
      </c>
      <c r="M85" s="469" t="str">
        <f>_xlfn.XLOOKUP($A85,'Physical Condition Assessment'!$U:$U,'Physical Condition Assessment'!$AE:$AE,"!!!!!",0)</f>
        <v>SF</v>
      </c>
      <c r="N85" s="471">
        <f>_xlfn.XLOOKUP($A85,'Physical Condition Assessment'!$U:$U,'Physical Condition Assessment'!$AP:$AP,"!!!!!",0)</f>
        <v>0</v>
      </c>
      <c r="O85" s="526">
        <f t="shared" si="4"/>
        <v>0</v>
      </c>
      <c r="P85" s="502" t="str">
        <f t="shared" si="5"/>
        <v>Green</v>
      </c>
      <c r="R85" s="502" t="str">
        <f t="shared" si="6"/>
        <v/>
      </c>
      <c r="S85" s="502" t="str">
        <f t="shared" si="7"/>
        <v/>
      </c>
      <c r="T85" s="95" t="s">
        <v>699</v>
      </c>
      <c r="U85" s="95" t="s">
        <v>704</v>
      </c>
      <c r="V85" s="95" t="s">
        <v>705</v>
      </c>
      <c r="W85" s="95" t="s">
        <v>702</v>
      </c>
      <c r="X85" s="95" t="s">
        <v>524</v>
      </c>
      <c r="Y85" s="95" t="s">
        <v>706</v>
      </c>
    </row>
    <row r="86" spans="1:26" x14ac:dyDescent="0.2">
      <c r="A86" s="502" t="s">
        <v>228</v>
      </c>
      <c r="B86" s="469">
        <f>_xlfn.XLOOKUP($A86,'Physical Condition Assessment'!$U:$U,'Physical Condition Assessment'!$E:$E,"!!!!!",0)</f>
        <v>0</v>
      </c>
      <c r="C86" s="469">
        <f>_xlfn.XLOOKUP($A86,'Physical Condition Assessment'!$U:$U,'Physical Condition Assessment'!$F:$F,"!!!!!",0)</f>
        <v>0</v>
      </c>
      <c r="D86" s="469">
        <f>_xlfn.XLOOKUP($A86,'Physical Condition Assessment'!$U:$U,'Physical Condition Assessment'!$H:$H,"!!!!!",0)</f>
        <v>0</v>
      </c>
      <c r="E86" s="469">
        <f>_xlfn.XLOOKUP($A86,'Physical Condition Assessment'!$U:$U,'Physical Condition Assessment'!$J:$J,"!!!!!",0)</f>
        <v>0</v>
      </c>
      <c r="F86" s="469">
        <f>_xlfn.XLOOKUP($A86,'Physical Condition Assessment'!$U:$U,'Physical Condition Assessment'!$L:$L,"!!!!!",0)</f>
        <v>0</v>
      </c>
      <c r="G86" s="469">
        <f>_xlfn.XLOOKUP($A86,'Physical Condition Assessment'!$U:$U,'Physical Condition Assessment'!$N:$N,"!!!!!",0)</f>
        <v>0</v>
      </c>
      <c r="H86" s="469">
        <f>_xlfn.XLOOKUP($A86,'Physical Condition Assessment'!$U:$U,'Physical Condition Assessment'!$P:$P,"!!!!!",0)</f>
        <v>0</v>
      </c>
      <c r="I86" s="525">
        <f>_xlfn.XLOOKUP($A86,'Physical Condition Assessment'!$U:$U,'Physical Condition Assessment'!$R:$R,"!!!!!",0)</f>
        <v>0</v>
      </c>
      <c r="J86" s="471">
        <f>_xlfn.XLOOKUP($A86,'Physical Condition Assessment'!$U:$U,'Physical Condition Assessment'!$S:$S,"!!!!!",0)</f>
        <v>0</v>
      </c>
      <c r="K86" s="469">
        <f>_xlfn.XLOOKUP($A86,'Physical Condition Assessment'!$U:$U,'Physical Condition Assessment'!$T:$T,"!!!!!",0)</f>
        <v>0</v>
      </c>
      <c r="L86" s="502" t="str">
        <f>_xlfn.XLOOKUP($A86,'Physical Condition Assessment'!$U:$U,'Physical Condition Assessment'!$V:$V,"missing",0)</f>
        <v>Interior Structure</v>
      </c>
      <c r="M86" s="469" t="str">
        <f>_xlfn.XLOOKUP($A86,'Physical Condition Assessment'!$U:$U,'Physical Condition Assessment'!$AE:$AE,"!!!!!",0)</f>
        <v>SF</v>
      </c>
      <c r="N86" s="471">
        <f>_xlfn.XLOOKUP($A86,'Physical Condition Assessment'!$U:$U,'Physical Condition Assessment'!$AP:$AP,"!!!!!",0)</f>
        <v>0</v>
      </c>
      <c r="O86" s="526">
        <f t="shared" si="4"/>
        <v>0</v>
      </c>
      <c r="P86" s="502" t="str">
        <f t="shared" si="5"/>
        <v>Green</v>
      </c>
      <c r="R86" s="502" t="str">
        <f t="shared" si="6"/>
        <v/>
      </c>
      <c r="S86" s="502" t="str">
        <f t="shared" si="7"/>
        <v/>
      </c>
      <c r="T86" s="95" t="s">
        <v>699</v>
      </c>
      <c r="U86" s="95" t="s">
        <v>707</v>
      </c>
      <c r="V86" s="95" t="s">
        <v>708</v>
      </c>
      <c r="W86" s="95" t="s">
        <v>702</v>
      </c>
      <c r="X86" s="95" t="s">
        <v>524</v>
      </c>
      <c r="Y86" s="95" t="s">
        <v>709</v>
      </c>
      <c r="Z86" s="95" t="s">
        <v>710</v>
      </c>
    </row>
    <row r="87" spans="1:26" x14ac:dyDescent="0.2">
      <c r="A87" s="502" t="s">
        <v>226</v>
      </c>
      <c r="B87" s="469">
        <f>_xlfn.XLOOKUP($A87,'Physical Condition Assessment'!$U:$U,'Physical Condition Assessment'!$E:$E,"!!!!!",0)</f>
        <v>0</v>
      </c>
      <c r="C87" s="469">
        <f>_xlfn.XLOOKUP($A87,'Physical Condition Assessment'!$U:$U,'Physical Condition Assessment'!$F:$F,"!!!!!",0)</f>
        <v>0</v>
      </c>
      <c r="D87" s="469">
        <f>_xlfn.XLOOKUP($A87,'Physical Condition Assessment'!$U:$U,'Physical Condition Assessment'!$H:$H,"!!!!!",0)</f>
        <v>0</v>
      </c>
      <c r="E87" s="469">
        <f>_xlfn.XLOOKUP($A87,'Physical Condition Assessment'!$U:$U,'Physical Condition Assessment'!$J:$J,"!!!!!",0)</f>
        <v>0</v>
      </c>
      <c r="F87" s="469">
        <f>_xlfn.XLOOKUP($A87,'Physical Condition Assessment'!$U:$U,'Physical Condition Assessment'!$L:$L,"!!!!!",0)</f>
        <v>0</v>
      </c>
      <c r="G87" s="469">
        <f>_xlfn.XLOOKUP($A87,'Physical Condition Assessment'!$U:$U,'Physical Condition Assessment'!$N:$N,"!!!!!",0)</f>
        <v>0</v>
      </c>
      <c r="H87" s="469">
        <f>_xlfn.XLOOKUP($A87,'Physical Condition Assessment'!$U:$U,'Physical Condition Assessment'!$P:$P,"!!!!!",0)</f>
        <v>0</v>
      </c>
      <c r="I87" s="525">
        <f>_xlfn.XLOOKUP($A87,'Physical Condition Assessment'!$U:$U,'Physical Condition Assessment'!$R:$R,"!!!!!",0)</f>
        <v>0</v>
      </c>
      <c r="J87" s="471">
        <f>_xlfn.XLOOKUP($A87,'Physical Condition Assessment'!$U:$U,'Physical Condition Assessment'!$S:$S,"!!!!!",0)</f>
        <v>0</v>
      </c>
      <c r="K87" s="469">
        <f>_xlfn.XLOOKUP($A87,'Physical Condition Assessment'!$U:$U,'Physical Condition Assessment'!$T:$T,"!!!!!",0)</f>
        <v>0</v>
      </c>
      <c r="L87" s="502" t="str">
        <f>_xlfn.XLOOKUP($A87,'Physical Condition Assessment'!$U:$U,'Physical Condition Assessment'!$V:$V,"missing",0)</f>
        <v>Interior Structure</v>
      </c>
      <c r="M87" s="469" t="str">
        <f>_xlfn.XLOOKUP($A87,'Physical Condition Assessment'!$U:$U,'Physical Condition Assessment'!$AE:$AE,"!!!!!",0)</f>
        <v>SF</v>
      </c>
      <c r="N87" s="471">
        <f>_xlfn.XLOOKUP($A87,'Physical Condition Assessment'!$U:$U,'Physical Condition Assessment'!$AP:$AP,"!!!!!",0)</f>
        <v>0</v>
      </c>
      <c r="O87" s="526">
        <f t="shared" si="4"/>
        <v>0</v>
      </c>
      <c r="P87" s="502" t="str">
        <f t="shared" si="5"/>
        <v>Green</v>
      </c>
      <c r="R87" s="502" t="str">
        <f t="shared" si="6"/>
        <v/>
      </c>
      <c r="S87" s="502" t="str">
        <f t="shared" si="7"/>
        <v/>
      </c>
      <c r="T87" s="95" t="s">
        <v>699</v>
      </c>
      <c r="U87" s="95" t="s">
        <v>711</v>
      </c>
      <c r="V87" s="95" t="s">
        <v>712</v>
      </c>
      <c r="W87" s="95" t="s">
        <v>702</v>
      </c>
      <c r="X87" s="95" t="s">
        <v>524</v>
      </c>
      <c r="Y87" s="95" t="s">
        <v>225</v>
      </c>
    </row>
    <row r="88" spans="1:26" x14ac:dyDescent="0.2">
      <c r="A88" s="502" t="s">
        <v>220</v>
      </c>
      <c r="B88" s="469">
        <f>_xlfn.XLOOKUP($A88,'Physical Condition Assessment'!$U:$U,'Physical Condition Assessment'!$E:$E,"!!!!!",0)</f>
        <v>0</v>
      </c>
      <c r="C88" s="469">
        <f>_xlfn.XLOOKUP($A88,'Physical Condition Assessment'!$U:$U,'Physical Condition Assessment'!$F:$F,"!!!!!",0)</f>
        <v>0</v>
      </c>
      <c r="D88" s="469">
        <f>_xlfn.XLOOKUP($A88,'Physical Condition Assessment'!$U:$U,'Physical Condition Assessment'!$H:$H,"!!!!!",0)</f>
        <v>0</v>
      </c>
      <c r="E88" s="469">
        <f>_xlfn.XLOOKUP($A88,'Physical Condition Assessment'!$U:$U,'Physical Condition Assessment'!$J:$J,"!!!!!",0)</f>
        <v>0</v>
      </c>
      <c r="F88" s="469">
        <f>_xlfn.XLOOKUP($A88,'Physical Condition Assessment'!$U:$U,'Physical Condition Assessment'!$L:$L,"!!!!!",0)</f>
        <v>0</v>
      </c>
      <c r="G88" s="469">
        <f>_xlfn.XLOOKUP($A88,'Physical Condition Assessment'!$U:$U,'Physical Condition Assessment'!$N:$N,"!!!!!",0)</f>
        <v>0</v>
      </c>
      <c r="H88" s="469">
        <f>_xlfn.XLOOKUP($A88,'Physical Condition Assessment'!$U:$U,'Physical Condition Assessment'!$P:$P,"!!!!!",0)</f>
        <v>0</v>
      </c>
      <c r="I88" s="525">
        <f>_xlfn.XLOOKUP($A88,'Physical Condition Assessment'!$U:$U,'Physical Condition Assessment'!$R:$R,"!!!!!",0)</f>
        <v>0</v>
      </c>
      <c r="J88" s="471">
        <f>_xlfn.XLOOKUP($A88,'Physical Condition Assessment'!$U:$U,'Physical Condition Assessment'!$S:$S,"!!!!!",0)</f>
        <v>0</v>
      </c>
      <c r="K88" s="469">
        <f>_xlfn.XLOOKUP($A88,'Physical Condition Assessment'!$U:$U,'Physical Condition Assessment'!$T:$T,"!!!!!",0)</f>
        <v>0</v>
      </c>
      <c r="L88" s="502" t="str">
        <f>_xlfn.XLOOKUP($A88,'Physical Condition Assessment'!$U:$U,'Physical Condition Assessment'!$V:$V,"missing",0)</f>
        <v>Interior Structure</v>
      </c>
      <c r="M88" s="469" t="str">
        <f>_xlfn.XLOOKUP($A88,'Physical Condition Assessment'!$U:$U,'Physical Condition Assessment'!$AE:$AE,"!!!!!",0)</f>
        <v>SF</v>
      </c>
      <c r="N88" s="471">
        <f>_xlfn.XLOOKUP($A88,'Physical Condition Assessment'!$U:$U,'Physical Condition Assessment'!$AP:$AP,"!!!!!",0)</f>
        <v>0</v>
      </c>
      <c r="O88" s="526">
        <f t="shared" si="4"/>
        <v>0</v>
      </c>
      <c r="P88" s="502" t="str">
        <f t="shared" si="5"/>
        <v>Green</v>
      </c>
      <c r="R88" s="502" t="str">
        <f t="shared" si="6"/>
        <v/>
      </c>
      <c r="S88" s="502" t="str">
        <f t="shared" si="7"/>
        <v/>
      </c>
      <c r="T88" s="95" t="s">
        <v>699</v>
      </c>
      <c r="U88" s="95" t="s">
        <v>713</v>
      </c>
      <c r="V88" s="95" t="s">
        <v>714</v>
      </c>
      <c r="W88" s="95" t="s">
        <v>702</v>
      </c>
      <c r="X88" s="95" t="s">
        <v>524</v>
      </c>
      <c r="Y88" s="95" t="s">
        <v>192</v>
      </c>
    </row>
    <row r="89" spans="1:26" x14ac:dyDescent="0.2">
      <c r="A89" s="502" t="s">
        <v>232</v>
      </c>
      <c r="B89" s="469">
        <f>_xlfn.XLOOKUP($A89,'Physical Condition Assessment'!$U:$U,'Physical Condition Assessment'!$E:$E,"!!!!!",0)</f>
        <v>0</v>
      </c>
      <c r="C89" s="469">
        <f>_xlfn.XLOOKUP($A89,'Physical Condition Assessment'!$U:$U,'Physical Condition Assessment'!$F:$F,"!!!!!",0)</f>
        <v>0</v>
      </c>
      <c r="D89" s="469">
        <f>_xlfn.XLOOKUP($A89,'Physical Condition Assessment'!$U:$U,'Physical Condition Assessment'!$H:$H,"!!!!!",0)</f>
        <v>0</v>
      </c>
      <c r="E89" s="469">
        <f>_xlfn.XLOOKUP($A89,'Physical Condition Assessment'!$U:$U,'Physical Condition Assessment'!$J:$J,"!!!!!",0)</f>
        <v>0</v>
      </c>
      <c r="F89" s="469">
        <f>_xlfn.XLOOKUP($A89,'Physical Condition Assessment'!$U:$U,'Physical Condition Assessment'!$L:$L,"!!!!!",0)</f>
        <v>0</v>
      </c>
      <c r="G89" s="469">
        <f>_xlfn.XLOOKUP($A89,'Physical Condition Assessment'!$U:$U,'Physical Condition Assessment'!$N:$N,"!!!!!",0)</f>
        <v>0</v>
      </c>
      <c r="H89" s="469">
        <f>_xlfn.XLOOKUP($A89,'Physical Condition Assessment'!$U:$U,'Physical Condition Assessment'!$P:$P,"!!!!!",0)</f>
        <v>0</v>
      </c>
      <c r="I89" s="525">
        <f>_xlfn.XLOOKUP($A89,'Physical Condition Assessment'!$U:$U,'Physical Condition Assessment'!$R:$R,"!!!!!",0)</f>
        <v>0</v>
      </c>
      <c r="J89" s="471">
        <f>_xlfn.XLOOKUP($A89,'Physical Condition Assessment'!$U:$U,'Physical Condition Assessment'!$S:$S,"!!!!!",0)</f>
        <v>0</v>
      </c>
      <c r="K89" s="469">
        <f>_xlfn.XLOOKUP($A89,'Physical Condition Assessment'!$U:$U,'Physical Condition Assessment'!$T:$T,"!!!!!",0)</f>
        <v>0</v>
      </c>
      <c r="L89" s="502" t="str">
        <f>_xlfn.XLOOKUP($A89,'Physical Condition Assessment'!$U:$U,'Physical Condition Assessment'!$V:$V,"missing",0)</f>
        <v>Interior Structure</v>
      </c>
      <c r="M89" s="469" t="str">
        <f>_xlfn.XLOOKUP($A89,'Physical Condition Assessment'!$U:$U,'Physical Condition Assessment'!$AE:$AE,"!!!!!",0)</f>
        <v>Unit</v>
      </c>
      <c r="N89" s="471">
        <f>_xlfn.XLOOKUP($A89,'Physical Condition Assessment'!$U:$U,'Physical Condition Assessment'!$AP:$AP,"!!!!!",0)</f>
        <v>0</v>
      </c>
      <c r="O89" s="526">
        <f t="shared" si="4"/>
        <v>0</v>
      </c>
      <c r="P89" s="502" t="str">
        <f t="shared" si="5"/>
        <v>Green</v>
      </c>
      <c r="R89" s="502" t="str">
        <f t="shared" si="6"/>
        <v/>
      </c>
      <c r="S89" s="502" t="str">
        <f t="shared" si="7"/>
        <v/>
      </c>
      <c r="T89" s="95" t="s">
        <v>715</v>
      </c>
      <c r="U89" s="95" t="s">
        <v>716</v>
      </c>
      <c r="V89" s="95" t="s">
        <v>717</v>
      </c>
      <c r="W89" s="95" t="s">
        <v>718</v>
      </c>
      <c r="X89" s="95" t="s">
        <v>719</v>
      </c>
      <c r="Z89" s="95" t="s">
        <v>454</v>
      </c>
    </row>
    <row r="90" spans="1:26" x14ac:dyDescent="0.2">
      <c r="A90" s="502" t="s">
        <v>234</v>
      </c>
      <c r="B90" s="469">
        <f>_xlfn.XLOOKUP($A90,'Physical Condition Assessment'!$U:$U,'Physical Condition Assessment'!$E:$E,"!!!!!",0)</f>
        <v>0</v>
      </c>
      <c r="C90" s="469">
        <f>_xlfn.XLOOKUP($A90,'Physical Condition Assessment'!$U:$U,'Physical Condition Assessment'!$F:$F,"!!!!!",0)</f>
        <v>0</v>
      </c>
      <c r="D90" s="469">
        <f>_xlfn.XLOOKUP($A90,'Physical Condition Assessment'!$U:$U,'Physical Condition Assessment'!$H:$H,"!!!!!",0)</f>
        <v>0</v>
      </c>
      <c r="E90" s="469">
        <f>_xlfn.XLOOKUP($A90,'Physical Condition Assessment'!$U:$U,'Physical Condition Assessment'!$J:$J,"!!!!!",0)</f>
        <v>0</v>
      </c>
      <c r="F90" s="469">
        <f>_xlfn.XLOOKUP($A90,'Physical Condition Assessment'!$U:$U,'Physical Condition Assessment'!$L:$L,"!!!!!",0)</f>
        <v>0</v>
      </c>
      <c r="G90" s="469">
        <f>_xlfn.XLOOKUP($A90,'Physical Condition Assessment'!$U:$U,'Physical Condition Assessment'!$N:$N,"!!!!!",0)</f>
        <v>0</v>
      </c>
      <c r="H90" s="469">
        <f>_xlfn.XLOOKUP($A90,'Physical Condition Assessment'!$U:$U,'Physical Condition Assessment'!$P:$P,"!!!!!",0)</f>
        <v>0</v>
      </c>
      <c r="I90" s="525">
        <f>_xlfn.XLOOKUP($A90,'Physical Condition Assessment'!$U:$U,'Physical Condition Assessment'!$R:$R,"!!!!!",0)</f>
        <v>0</v>
      </c>
      <c r="J90" s="471">
        <f>_xlfn.XLOOKUP($A90,'Physical Condition Assessment'!$U:$U,'Physical Condition Assessment'!$S:$S,"!!!!!",0)</f>
        <v>0</v>
      </c>
      <c r="K90" s="469">
        <f>_xlfn.XLOOKUP($A90,'Physical Condition Assessment'!$U:$U,'Physical Condition Assessment'!$T:$T,"!!!!!",0)</f>
        <v>0</v>
      </c>
      <c r="L90" s="502" t="str">
        <f>_xlfn.XLOOKUP($A90,'Physical Condition Assessment'!$U:$U,'Physical Condition Assessment'!$V:$V,"missing",0)</f>
        <v>Interior Structure</v>
      </c>
      <c r="M90" s="469" t="str">
        <f>_xlfn.XLOOKUP($A90,'Physical Condition Assessment'!$U:$U,'Physical Condition Assessment'!$AE:$AE,"!!!!!",0)</f>
        <v>Unit</v>
      </c>
      <c r="N90" s="471">
        <f>_xlfn.XLOOKUP($A90,'Physical Condition Assessment'!$U:$U,'Physical Condition Assessment'!$AP:$AP,"!!!!!",0)</f>
        <v>0</v>
      </c>
      <c r="O90" s="526">
        <f t="shared" si="4"/>
        <v>0</v>
      </c>
      <c r="P90" s="502" t="str">
        <f t="shared" si="5"/>
        <v>Green</v>
      </c>
      <c r="R90" s="502" t="str">
        <f t="shared" si="6"/>
        <v/>
      </c>
      <c r="S90" s="502" t="str">
        <f t="shared" si="7"/>
        <v/>
      </c>
      <c r="T90" s="95" t="s">
        <v>720</v>
      </c>
      <c r="U90" s="95" t="s">
        <v>721</v>
      </c>
      <c r="V90" s="95" t="s">
        <v>722</v>
      </c>
      <c r="W90" s="95" t="s">
        <v>723</v>
      </c>
      <c r="X90" s="95" t="s">
        <v>724</v>
      </c>
      <c r="Z90" s="95" t="s">
        <v>454</v>
      </c>
    </row>
    <row r="91" spans="1:26" x14ac:dyDescent="0.2">
      <c r="A91" s="502" t="s">
        <v>236</v>
      </c>
      <c r="B91" s="469">
        <f>_xlfn.XLOOKUP($A91,'Physical Condition Assessment'!$U:$U,'Physical Condition Assessment'!$E:$E,"!!!!!",0)</f>
        <v>0</v>
      </c>
      <c r="C91" s="469">
        <f>_xlfn.XLOOKUP($A91,'Physical Condition Assessment'!$U:$U,'Physical Condition Assessment'!$F:$F,"!!!!!",0)</f>
        <v>0</v>
      </c>
      <c r="D91" s="469">
        <f>_xlfn.XLOOKUP($A91,'Physical Condition Assessment'!$U:$U,'Physical Condition Assessment'!$H:$H,"!!!!!",0)</f>
        <v>0</v>
      </c>
      <c r="E91" s="469">
        <f>_xlfn.XLOOKUP($A91,'Physical Condition Assessment'!$U:$U,'Physical Condition Assessment'!$J:$J,"!!!!!",0)</f>
        <v>0</v>
      </c>
      <c r="F91" s="469">
        <f>_xlfn.XLOOKUP($A91,'Physical Condition Assessment'!$U:$U,'Physical Condition Assessment'!$L:$L,"!!!!!",0)</f>
        <v>0</v>
      </c>
      <c r="G91" s="469">
        <f>_xlfn.XLOOKUP($A91,'Physical Condition Assessment'!$U:$U,'Physical Condition Assessment'!$N:$N,"!!!!!",0)</f>
        <v>0</v>
      </c>
      <c r="H91" s="469">
        <f>_xlfn.XLOOKUP($A91,'Physical Condition Assessment'!$U:$U,'Physical Condition Assessment'!$P:$P,"!!!!!",0)</f>
        <v>0</v>
      </c>
      <c r="I91" s="525">
        <f>_xlfn.XLOOKUP($A91,'Physical Condition Assessment'!$U:$U,'Physical Condition Assessment'!$R:$R,"!!!!!",0)</f>
        <v>0</v>
      </c>
      <c r="J91" s="471">
        <f>_xlfn.XLOOKUP($A91,'Physical Condition Assessment'!$U:$U,'Physical Condition Assessment'!$S:$S,"!!!!!",0)</f>
        <v>0</v>
      </c>
      <c r="K91" s="469">
        <f>_xlfn.XLOOKUP($A91,'Physical Condition Assessment'!$U:$U,'Physical Condition Assessment'!$T:$T,"!!!!!",0)</f>
        <v>0</v>
      </c>
      <c r="L91" s="502" t="str">
        <f>_xlfn.XLOOKUP($A91,'Physical Condition Assessment'!$U:$U,'Physical Condition Assessment'!$V:$V,"missing",0)</f>
        <v>Interior Structure</v>
      </c>
      <c r="M91" s="469" t="str">
        <f>_xlfn.XLOOKUP($A91,'Physical Condition Assessment'!$U:$U,'Physical Condition Assessment'!$AE:$AE,"!!!!!",0)</f>
        <v>Unit</v>
      </c>
      <c r="N91" s="471">
        <f>_xlfn.XLOOKUP($A91,'Physical Condition Assessment'!$U:$U,'Physical Condition Assessment'!$AP:$AP,"!!!!!",0)</f>
        <v>0</v>
      </c>
      <c r="O91" s="526">
        <f t="shared" si="4"/>
        <v>0</v>
      </c>
      <c r="P91" s="502" t="str">
        <f t="shared" si="5"/>
        <v>Green</v>
      </c>
      <c r="R91" s="502" t="str">
        <f t="shared" si="6"/>
        <v/>
      </c>
      <c r="S91" s="502" t="str">
        <f t="shared" si="7"/>
        <v/>
      </c>
      <c r="T91" s="95" t="s">
        <v>725</v>
      </c>
      <c r="U91" s="95" t="s">
        <v>726</v>
      </c>
      <c r="V91" s="95" t="s">
        <v>727</v>
      </c>
      <c r="W91" s="95" t="s">
        <v>728</v>
      </c>
      <c r="X91" s="95" t="s">
        <v>604</v>
      </c>
      <c r="Z91" s="95" t="s">
        <v>729</v>
      </c>
    </row>
    <row r="92" spans="1:26" x14ac:dyDescent="0.2">
      <c r="A92" s="502" t="s">
        <v>350</v>
      </c>
      <c r="B92" s="469">
        <f>_xlfn.XLOOKUP($A92,'Physical Condition Assessment'!$U:$U,'Physical Condition Assessment'!$E:$E,"!!!!!",0)</f>
        <v>0</v>
      </c>
      <c r="C92" s="469">
        <f>_xlfn.XLOOKUP($A92,'Physical Condition Assessment'!$U:$U,'Physical Condition Assessment'!$F:$F,"!!!!!",0)</f>
        <v>0</v>
      </c>
      <c r="D92" s="469">
        <f>_xlfn.XLOOKUP($A92,'Physical Condition Assessment'!$U:$U,'Physical Condition Assessment'!$H:$H,"!!!!!",0)</f>
        <v>0</v>
      </c>
      <c r="E92" s="469">
        <f>_xlfn.XLOOKUP($A92,'Physical Condition Assessment'!$U:$U,'Physical Condition Assessment'!$J:$J,"!!!!!",0)</f>
        <v>0</v>
      </c>
      <c r="F92" s="469">
        <f>_xlfn.XLOOKUP($A92,'Physical Condition Assessment'!$U:$U,'Physical Condition Assessment'!$L:$L,"!!!!!",0)</f>
        <v>0</v>
      </c>
      <c r="G92" s="469">
        <f>_xlfn.XLOOKUP($A92,'Physical Condition Assessment'!$U:$U,'Physical Condition Assessment'!$N:$N,"!!!!!",0)</f>
        <v>0</v>
      </c>
      <c r="H92" s="469">
        <f>_xlfn.XLOOKUP($A92,'Physical Condition Assessment'!$U:$U,'Physical Condition Assessment'!$P:$P,"!!!!!",0)</f>
        <v>0</v>
      </c>
      <c r="I92" s="525">
        <f>_xlfn.XLOOKUP($A92,'Physical Condition Assessment'!$U:$U,'Physical Condition Assessment'!$R:$R,"!!!!!",0)</f>
        <v>0</v>
      </c>
      <c r="J92" s="471">
        <f>_xlfn.XLOOKUP($A92,'Physical Condition Assessment'!$U:$U,'Physical Condition Assessment'!$S:$S,"!!!!!",0)</f>
        <v>0</v>
      </c>
      <c r="K92" s="469">
        <f>_xlfn.XLOOKUP($A92,'Physical Condition Assessment'!$U:$U,'Physical Condition Assessment'!$T:$T,"!!!!!",0)</f>
        <v>0</v>
      </c>
      <c r="L92" s="502" t="str">
        <f>_xlfn.XLOOKUP($A92,'Physical Condition Assessment'!$U:$U,'Physical Condition Assessment'!$V:$V,"missing",0)</f>
        <v>Parking/Traffic</v>
      </c>
      <c r="M92" s="469" t="str">
        <f>_xlfn.XLOOKUP($A92,'Physical Condition Assessment'!$U:$U,'Physical Condition Assessment'!$AE:$AE,"!!!!!",0)</f>
        <v>Unit</v>
      </c>
      <c r="N92" s="471">
        <f>_xlfn.XLOOKUP($A92,'Physical Condition Assessment'!$U:$U,'Physical Condition Assessment'!$AP:$AP,"!!!!!",0)</f>
        <v>0</v>
      </c>
      <c r="O92" s="526">
        <f t="shared" si="4"/>
        <v>0</v>
      </c>
      <c r="P92" s="502" t="str">
        <f t="shared" si="5"/>
        <v>Green</v>
      </c>
      <c r="R92" s="502" t="str">
        <f t="shared" si="6"/>
        <v/>
      </c>
      <c r="S92" s="502" t="str">
        <f t="shared" si="7"/>
        <v/>
      </c>
      <c r="T92" s="95" t="s">
        <v>730</v>
      </c>
      <c r="U92" s="95" t="s">
        <v>731</v>
      </c>
      <c r="V92" s="95" t="s">
        <v>732</v>
      </c>
      <c r="W92" s="95" t="s">
        <v>731</v>
      </c>
    </row>
    <row r="93" spans="1:26" x14ac:dyDescent="0.2">
      <c r="A93" s="502" t="s">
        <v>353</v>
      </c>
      <c r="B93" s="469">
        <f>_xlfn.XLOOKUP($A93,'Physical Condition Assessment'!$U:$U,'Physical Condition Assessment'!$E:$E,"!!!!!",0)</f>
        <v>0</v>
      </c>
      <c r="C93" s="469">
        <f>_xlfn.XLOOKUP($A93,'Physical Condition Assessment'!$U:$U,'Physical Condition Assessment'!$F:$F,"!!!!!",0)</f>
        <v>0</v>
      </c>
      <c r="D93" s="469">
        <f>_xlfn.XLOOKUP($A93,'Physical Condition Assessment'!$U:$U,'Physical Condition Assessment'!$H:$H,"!!!!!",0)</f>
        <v>0</v>
      </c>
      <c r="E93" s="469">
        <f>_xlfn.XLOOKUP($A93,'Physical Condition Assessment'!$U:$U,'Physical Condition Assessment'!$J:$J,"!!!!!",0)</f>
        <v>0</v>
      </c>
      <c r="F93" s="469">
        <f>_xlfn.XLOOKUP($A93,'Physical Condition Assessment'!$U:$U,'Physical Condition Assessment'!$L:$L,"!!!!!",0)</f>
        <v>0</v>
      </c>
      <c r="G93" s="469">
        <f>_xlfn.XLOOKUP($A93,'Physical Condition Assessment'!$U:$U,'Physical Condition Assessment'!$N:$N,"!!!!!",0)</f>
        <v>0</v>
      </c>
      <c r="H93" s="469">
        <f>_xlfn.XLOOKUP($A93,'Physical Condition Assessment'!$U:$U,'Physical Condition Assessment'!$P:$P,"!!!!!",0)</f>
        <v>0</v>
      </c>
      <c r="I93" s="525">
        <f>_xlfn.XLOOKUP($A93,'Physical Condition Assessment'!$U:$U,'Physical Condition Assessment'!$R:$R,"!!!!!",0)</f>
        <v>0</v>
      </c>
      <c r="J93" s="471">
        <f>_xlfn.XLOOKUP($A93,'Physical Condition Assessment'!$U:$U,'Physical Condition Assessment'!$S:$S,"!!!!!",0)</f>
        <v>0</v>
      </c>
      <c r="K93" s="469">
        <f>_xlfn.XLOOKUP($A93,'Physical Condition Assessment'!$U:$U,'Physical Condition Assessment'!$T:$T,"!!!!!",0)</f>
        <v>0</v>
      </c>
      <c r="L93" s="502" t="str">
        <f>_xlfn.XLOOKUP($A93,'Physical Condition Assessment'!$U:$U,'Physical Condition Assessment'!$V:$V,"missing",0)</f>
        <v>Parking/Traffic</v>
      </c>
      <c r="M93" s="469" t="str">
        <f>_xlfn.XLOOKUP($A93,'Physical Condition Assessment'!$U:$U,'Physical Condition Assessment'!$AE:$AE,"!!!!!",0)</f>
        <v>Unit</v>
      </c>
      <c r="N93" s="471">
        <f>_xlfn.XLOOKUP($A93,'Physical Condition Assessment'!$U:$U,'Physical Condition Assessment'!$AP:$AP,"!!!!!",0)</f>
        <v>0</v>
      </c>
      <c r="O93" s="526">
        <f t="shared" si="4"/>
        <v>0</v>
      </c>
      <c r="P93" s="502" t="str">
        <f t="shared" si="5"/>
        <v>Green</v>
      </c>
      <c r="R93" s="502" t="str">
        <f t="shared" si="6"/>
        <v/>
      </c>
      <c r="S93" s="502" t="str">
        <f t="shared" si="7"/>
        <v/>
      </c>
      <c r="T93" s="95" t="s">
        <v>733</v>
      </c>
      <c r="U93" s="95" t="s">
        <v>734</v>
      </c>
      <c r="V93" s="95" t="s">
        <v>735</v>
      </c>
      <c r="W93" s="95" t="s">
        <v>736</v>
      </c>
      <c r="X93" s="95" t="s">
        <v>737</v>
      </c>
    </row>
    <row r="94" spans="1:26" x14ac:dyDescent="0.2">
      <c r="A94" s="502" t="s">
        <v>355</v>
      </c>
      <c r="B94" s="469">
        <f>_xlfn.XLOOKUP($A94,'Physical Condition Assessment'!$U:$U,'Physical Condition Assessment'!$E:$E,"!!!!!",0)</f>
        <v>0</v>
      </c>
      <c r="C94" s="469">
        <f>_xlfn.XLOOKUP($A94,'Physical Condition Assessment'!$U:$U,'Physical Condition Assessment'!$F:$F,"!!!!!",0)</f>
        <v>0</v>
      </c>
      <c r="D94" s="469">
        <f>_xlfn.XLOOKUP($A94,'Physical Condition Assessment'!$U:$U,'Physical Condition Assessment'!$H:$H,"!!!!!",0)</f>
        <v>0</v>
      </c>
      <c r="E94" s="469">
        <f>_xlfn.XLOOKUP($A94,'Physical Condition Assessment'!$U:$U,'Physical Condition Assessment'!$J:$J,"!!!!!",0)</f>
        <v>0</v>
      </c>
      <c r="F94" s="469">
        <f>_xlfn.XLOOKUP($A94,'Physical Condition Assessment'!$U:$U,'Physical Condition Assessment'!$L:$L,"!!!!!",0)</f>
        <v>0</v>
      </c>
      <c r="G94" s="469">
        <f>_xlfn.XLOOKUP($A94,'Physical Condition Assessment'!$U:$U,'Physical Condition Assessment'!$N:$N,"!!!!!",0)</f>
        <v>0</v>
      </c>
      <c r="H94" s="469">
        <f>_xlfn.XLOOKUP($A94,'Physical Condition Assessment'!$U:$U,'Physical Condition Assessment'!$P:$P,"!!!!!",0)</f>
        <v>0</v>
      </c>
      <c r="I94" s="525">
        <f>_xlfn.XLOOKUP($A94,'Physical Condition Assessment'!$U:$U,'Physical Condition Assessment'!$R:$R,"!!!!!",0)</f>
        <v>0</v>
      </c>
      <c r="J94" s="471">
        <f>_xlfn.XLOOKUP($A94,'Physical Condition Assessment'!$U:$U,'Physical Condition Assessment'!$S:$S,"!!!!!",0)</f>
        <v>0</v>
      </c>
      <c r="K94" s="469">
        <f>_xlfn.XLOOKUP($A94,'Physical Condition Assessment'!$U:$U,'Physical Condition Assessment'!$T:$T,"!!!!!",0)</f>
        <v>0</v>
      </c>
      <c r="L94" s="502" t="str">
        <f>_xlfn.XLOOKUP($A94,'Physical Condition Assessment'!$U:$U,'Physical Condition Assessment'!$V:$V,"missing",0)</f>
        <v>Parking/Traffic</v>
      </c>
      <c r="M94" s="469" t="str">
        <f>_xlfn.XLOOKUP($A94,'Physical Condition Assessment'!$U:$U,'Physical Condition Assessment'!$AE:$AE,"!!!!!",0)</f>
        <v>Unit</v>
      </c>
      <c r="N94" s="471">
        <f>_xlfn.XLOOKUP($A94,'Physical Condition Assessment'!$U:$U,'Physical Condition Assessment'!$AP:$AP,"!!!!!",0)</f>
        <v>0</v>
      </c>
      <c r="O94" s="526">
        <f t="shared" si="4"/>
        <v>0</v>
      </c>
      <c r="P94" s="502" t="str">
        <f t="shared" si="5"/>
        <v>Green</v>
      </c>
      <c r="R94" s="502" t="str">
        <f t="shared" si="6"/>
        <v/>
      </c>
      <c r="S94" s="502" t="str">
        <f t="shared" si="7"/>
        <v/>
      </c>
      <c r="T94" s="95" t="s">
        <v>738</v>
      </c>
      <c r="U94" s="95" t="s">
        <v>739</v>
      </c>
      <c r="V94" s="95" t="s">
        <v>740</v>
      </c>
      <c r="W94" s="95" t="s">
        <v>741</v>
      </c>
      <c r="X94" s="95" t="s">
        <v>742</v>
      </c>
    </row>
    <row r="95" spans="1:26" x14ac:dyDescent="0.2">
      <c r="A95" s="502" t="s">
        <v>239</v>
      </c>
      <c r="B95" s="469">
        <f>_xlfn.XLOOKUP($A95,'Physical Condition Assessment'!$U:$U,'Physical Condition Assessment'!$E:$E,"!!!!!",0)</f>
        <v>0</v>
      </c>
      <c r="C95" s="469">
        <f>_xlfn.XLOOKUP($A95,'Physical Condition Assessment'!$U:$U,'Physical Condition Assessment'!$F:$F,"!!!!!",0)</f>
        <v>0</v>
      </c>
      <c r="D95" s="469">
        <f>_xlfn.XLOOKUP($A95,'Physical Condition Assessment'!$U:$U,'Physical Condition Assessment'!$H:$H,"!!!!!",0)</f>
        <v>0</v>
      </c>
      <c r="E95" s="469">
        <f>_xlfn.XLOOKUP($A95,'Physical Condition Assessment'!$U:$U,'Physical Condition Assessment'!$J:$J,"!!!!!",0)</f>
        <v>0</v>
      </c>
      <c r="F95" s="469">
        <f>_xlfn.XLOOKUP($A95,'Physical Condition Assessment'!$U:$U,'Physical Condition Assessment'!$L:$L,"!!!!!",0)</f>
        <v>0</v>
      </c>
      <c r="G95" s="469">
        <f>_xlfn.XLOOKUP($A95,'Physical Condition Assessment'!$U:$U,'Physical Condition Assessment'!$N:$N,"!!!!!",0)</f>
        <v>0</v>
      </c>
      <c r="H95" s="469">
        <f>_xlfn.XLOOKUP($A95,'Physical Condition Assessment'!$U:$U,'Physical Condition Assessment'!$P:$P,"!!!!!",0)</f>
        <v>0</v>
      </c>
      <c r="I95" s="525">
        <f>_xlfn.XLOOKUP($A95,'Physical Condition Assessment'!$U:$U,'Physical Condition Assessment'!$R:$R,"!!!!!",0)</f>
        <v>0</v>
      </c>
      <c r="J95" s="471">
        <f>_xlfn.XLOOKUP($A95,'Physical Condition Assessment'!$U:$U,'Physical Condition Assessment'!$S:$S,"!!!!!",0)</f>
        <v>0</v>
      </c>
      <c r="K95" s="469">
        <f>_xlfn.XLOOKUP($A95,'Physical Condition Assessment'!$U:$U,'Physical Condition Assessment'!$T:$T,"!!!!!",0)</f>
        <v>0</v>
      </c>
      <c r="L95" s="502" t="str">
        <f>_xlfn.XLOOKUP($A95,'Physical Condition Assessment'!$U:$U,'Physical Condition Assessment'!$V:$V,"missing",0)</f>
        <v>Plumbing</v>
      </c>
      <c r="M95" s="469" t="str">
        <f>_xlfn.XLOOKUP($A95,'Physical Condition Assessment'!$U:$U,'Physical Condition Assessment'!$AE:$AE,"!!!!!",0)</f>
        <v>Unit</v>
      </c>
      <c r="N95" s="471">
        <f>_xlfn.XLOOKUP($A95,'Physical Condition Assessment'!$U:$U,'Physical Condition Assessment'!$AP:$AP,"!!!!!",0)</f>
        <v>0</v>
      </c>
      <c r="O95" s="526">
        <f t="shared" si="4"/>
        <v>0</v>
      </c>
      <c r="P95" s="502" t="str">
        <f t="shared" si="5"/>
        <v>Green</v>
      </c>
      <c r="R95" s="502" t="str">
        <f t="shared" si="6"/>
        <v/>
      </c>
      <c r="S95" s="502" t="str">
        <f t="shared" si="7"/>
        <v/>
      </c>
      <c r="T95" s="95" t="s">
        <v>743</v>
      </c>
      <c r="U95" s="95" t="s">
        <v>744</v>
      </c>
      <c r="V95" s="95" t="s">
        <v>745</v>
      </c>
      <c r="W95" s="95" t="s">
        <v>240</v>
      </c>
      <c r="X95" s="95" t="s">
        <v>746</v>
      </c>
    </row>
    <row r="96" spans="1:26" x14ac:dyDescent="0.2">
      <c r="A96" s="502" t="s">
        <v>242</v>
      </c>
      <c r="B96" s="469">
        <f>_xlfn.XLOOKUP($A96,'Physical Condition Assessment'!$U:$U,'Physical Condition Assessment'!$E:$E,"!!!!!",0)</f>
        <v>0</v>
      </c>
      <c r="C96" s="469">
        <f>_xlfn.XLOOKUP($A96,'Physical Condition Assessment'!$U:$U,'Physical Condition Assessment'!$F:$F,"!!!!!",0)</f>
        <v>0</v>
      </c>
      <c r="D96" s="469">
        <f>_xlfn.XLOOKUP($A96,'Physical Condition Assessment'!$U:$U,'Physical Condition Assessment'!$H:$H,"!!!!!",0)</f>
        <v>0</v>
      </c>
      <c r="E96" s="469">
        <f>_xlfn.XLOOKUP($A96,'Physical Condition Assessment'!$U:$U,'Physical Condition Assessment'!$J:$J,"!!!!!",0)</f>
        <v>0</v>
      </c>
      <c r="F96" s="469">
        <f>_xlfn.XLOOKUP($A96,'Physical Condition Assessment'!$U:$U,'Physical Condition Assessment'!$L:$L,"!!!!!",0)</f>
        <v>0</v>
      </c>
      <c r="G96" s="469">
        <f>_xlfn.XLOOKUP($A96,'Physical Condition Assessment'!$U:$U,'Physical Condition Assessment'!$N:$N,"!!!!!",0)</f>
        <v>0</v>
      </c>
      <c r="H96" s="469">
        <f>_xlfn.XLOOKUP($A96,'Physical Condition Assessment'!$U:$U,'Physical Condition Assessment'!$P:$P,"!!!!!",0)</f>
        <v>0</v>
      </c>
      <c r="I96" s="525">
        <f>_xlfn.XLOOKUP($A96,'Physical Condition Assessment'!$U:$U,'Physical Condition Assessment'!$R:$R,"!!!!!",0)</f>
        <v>0</v>
      </c>
      <c r="J96" s="471">
        <f>_xlfn.XLOOKUP($A96,'Physical Condition Assessment'!$U:$U,'Physical Condition Assessment'!$S:$S,"!!!!!",0)</f>
        <v>0</v>
      </c>
      <c r="K96" s="469">
        <f>_xlfn.XLOOKUP($A96,'Physical Condition Assessment'!$U:$U,'Physical Condition Assessment'!$T:$T,"!!!!!",0)</f>
        <v>0</v>
      </c>
      <c r="L96" s="502" t="str">
        <f>_xlfn.XLOOKUP($A96,'Physical Condition Assessment'!$U:$U,'Physical Condition Assessment'!$V:$V,"missing",0)</f>
        <v>Plumbing</v>
      </c>
      <c r="M96" s="469" t="str">
        <f>_xlfn.XLOOKUP($A96,'Physical Condition Assessment'!$U:$U,'Physical Condition Assessment'!$AE:$AE,"!!!!!",0)</f>
        <v>SF</v>
      </c>
      <c r="N96" s="471">
        <f>_xlfn.XLOOKUP($A96,'Physical Condition Assessment'!$U:$U,'Physical Condition Assessment'!$AP:$AP,"!!!!!",0)</f>
        <v>0</v>
      </c>
      <c r="O96" s="526">
        <f t="shared" si="4"/>
        <v>0</v>
      </c>
      <c r="P96" s="502" t="str">
        <f t="shared" si="5"/>
        <v>Green</v>
      </c>
      <c r="R96" s="502" t="str">
        <f t="shared" si="6"/>
        <v/>
      </c>
      <c r="S96" s="502" t="str">
        <f t="shared" si="7"/>
        <v/>
      </c>
      <c r="T96" s="95" t="s">
        <v>747</v>
      </c>
      <c r="U96" s="95" t="s">
        <v>748</v>
      </c>
      <c r="V96" s="95" t="s">
        <v>749</v>
      </c>
      <c r="W96" s="95" t="s">
        <v>363</v>
      </c>
      <c r="X96" s="95" t="s">
        <v>750</v>
      </c>
      <c r="Z96" s="95" t="s">
        <v>455</v>
      </c>
    </row>
    <row r="97" spans="1:26" x14ac:dyDescent="0.2">
      <c r="A97" s="502" t="s">
        <v>244</v>
      </c>
      <c r="B97" s="469">
        <f>_xlfn.XLOOKUP($A97,'Physical Condition Assessment'!$U:$U,'Physical Condition Assessment'!$E:$E,"!!!!!",0)</f>
        <v>0</v>
      </c>
      <c r="C97" s="469">
        <f>_xlfn.XLOOKUP($A97,'Physical Condition Assessment'!$U:$U,'Physical Condition Assessment'!$F:$F,"!!!!!",0)</f>
        <v>0</v>
      </c>
      <c r="D97" s="469">
        <f>_xlfn.XLOOKUP($A97,'Physical Condition Assessment'!$U:$U,'Physical Condition Assessment'!$H:$H,"!!!!!",0)</f>
        <v>0</v>
      </c>
      <c r="E97" s="469">
        <f>_xlfn.XLOOKUP($A97,'Physical Condition Assessment'!$U:$U,'Physical Condition Assessment'!$J:$J,"!!!!!",0)</f>
        <v>0</v>
      </c>
      <c r="F97" s="469">
        <f>_xlfn.XLOOKUP($A97,'Physical Condition Assessment'!$U:$U,'Physical Condition Assessment'!$L:$L,"!!!!!",0)</f>
        <v>0</v>
      </c>
      <c r="G97" s="469">
        <f>_xlfn.XLOOKUP($A97,'Physical Condition Assessment'!$U:$U,'Physical Condition Assessment'!$N:$N,"!!!!!",0)</f>
        <v>0</v>
      </c>
      <c r="H97" s="469">
        <f>_xlfn.XLOOKUP($A97,'Physical Condition Assessment'!$U:$U,'Physical Condition Assessment'!$P:$P,"!!!!!",0)</f>
        <v>0</v>
      </c>
      <c r="I97" s="525">
        <f>_xlfn.XLOOKUP($A97,'Physical Condition Assessment'!$U:$U,'Physical Condition Assessment'!$R:$R,"!!!!!",0)</f>
        <v>0</v>
      </c>
      <c r="J97" s="471">
        <f>_xlfn.XLOOKUP($A97,'Physical Condition Assessment'!$U:$U,'Physical Condition Assessment'!$S:$S,"!!!!!",0)</f>
        <v>0</v>
      </c>
      <c r="K97" s="469">
        <f>_xlfn.XLOOKUP($A97,'Physical Condition Assessment'!$U:$U,'Physical Condition Assessment'!$T:$T,"!!!!!",0)</f>
        <v>0</v>
      </c>
      <c r="L97" s="502" t="str">
        <f>_xlfn.XLOOKUP($A97,'Physical Condition Assessment'!$U:$U,'Physical Condition Assessment'!$V:$V,"missing",0)</f>
        <v>Plumbing</v>
      </c>
      <c r="M97" s="469" t="str">
        <f>_xlfn.XLOOKUP($A97,'Physical Condition Assessment'!$U:$U,'Physical Condition Assessment'!$AE:$AE,"!!!!!",0)</f>
        <v>SF</v>
      </c>
      <c r="N97" s="471">
        <f>_xlfn.XLOOKUP($A97,'Physical Condition Assessment'!$U:$U,'Physical Condition Assessment'!$AP:$AP,"!!!!!",0)</f>
        <v>0</v>
      </c>
      <c r="O97" s="526">
        <f t="shared" si="4"/>
        <v>0</v>
      </c>
      <c r="P97" s="502" t="str">
        <f t="shared" si="5"/>
        <v>Green</v>
      </c>
      <c r="R97" s="502" t="str">
        <f t="shared" si="6"/>
        <v/>
      </c>
      <c r="S97" s="502" t="str">
        <f t="shared" si="7"/>
        <v/>
      </c>
      <c r="T97" s="95" t="s">
        <v>751</v>
      </c>
      <c r="U97" s="95" t="s">
        <v>752</v>
      </c>
      <c r="V97" s="95" t="s">
        <v>753</v>
      </c>
      <c r="W97" s="95" t="s">
        <v>754</v>
      </c>
      <c r="X97" s="95" t="s">
        <v>755</v>
      </c>
    </row>
    <row r="98" spans="1:26" x14ac:dyDescent="0.2">
      <c r="A98" s="502" t="s">
        <v>246</v>
      </c>
      <c r="B98" s="469">
        <f>_xlfn.XLOOKUP($A98,'Physical Condition Assessment'!$U:$U,'Physical Condition Assessment'!$E:$E,"!!!!!",0)</f>
        <v>0</v>
      </c>
      <c r="C98" s="469">
        <f>_xlfn.XLOOKUP($A98,'Physical Condition Assessment'!$U:$U,'Physical Condition Assessment'!$F:$F,"!!!!!",0)</f>
        <v>0</v>
      </c>
      <c r="D98" s="469">
        <f>_xlfn.XLOOKUP($A98,'Physical Condition Assessment'!$U:$U,'Physical Condition Assessment'!$H:$H,"!!!!!",0)</f>
        <v>0</v>
      </c>
      <c r="E98" s="469">
        <f>_xlfn.XLOOKUP($A98,'Physical Condition Assessment'!$U:$U,'Physical Condition Assessment'!$J:$J,"!!!!!",0)</f>
        <v>0</v>
      </c>
      <c r="F98" s="469">
        <f>_xlfn.XLOOKUP($A98,'Physical Condition Assessment'!$U:$U,'Physical Condition Assessment'!$L:$L,"!!!!!",0)</f>
        <v>0</v>
      </c>
      <c r="G98" s="469">
        <f>_xlfn.XLOOKUP($A98,'Physical Condition Assessment'!$U:$U,'Physical Condition Assessment'!$N:$N,"!!!!!",0)</f>
        <v>0</v>
      </c>
      <c r="H98" s="469">
        <f>_xlfn.XLOOKUP($A98,'Physical Condition Assessment'!$U:$U,'Physical Condition Assessment'!$P:$P,"!!!!!",0)</f>
        <v>0</v>
      </c>
      <c r="I98" s="525">
        <f>_xlfn.XLOOKUP($A98,'Physical Condition Assessment'!$U:$U,'Physical Condition Assessment'!$R:$R,"!!!!!",0)</f>
        <v>0</v>
      </c>
      <c r="J98" s="471">
        <f>_xlfn.XLOOKUP($A98,'Physical Condition Assessment'!$U:$U,'Physical Condition Assessment'!$S:$S,"!!!!!",0)</f>
        <v>0</v>
      </c>
      <c r="K98" s="469">
        <f>_xlfn.XLOOKUP($A98,'Physical Condition Assessment'!$U:$U,'Physical Condition Assessment'!$T:$T,"!!!!!",0)</f>
        <v>0</v>
      </c>
      <c r="L98" s="502" t="str">
        <f>_xlfn.XLOOKUP($A98,'Physical Condition Assessment'!$U:$U,'Physical Condition Assessment'!$V:$V,"missing",0)</f>
        <v>Plumbing</v>
      </c>
      <c r="M98" s="469" t="str">
        <f>_xlfn.XLOOKUP($A98,'Physical Condition Assessment'!$U:$U,'Physical Condition Assessment'!$AE:$AE,"!!!!!",0)</f>
        <v>SF</v>
      </c>
      <c r="N98" s="471">
        <f>_xlfn.XLOOKUP($A98,'Physical Condition Assessment'!$U:$U,'Physical Condition Assessment'!$AP:$AP,"!!!!!",0)</f>
        <v>0</v>
      </c>
      <c r="O98" s="526">
        <f t="shared" si="4"/>
        <v>0</v>
      </c>
      <c r="P98" s="502" t="str">
        <f t="shared" si="5"/>
        <v>Green</v>
      </c>
      <c r="R98" s="502" t="str">
        <f t="shared" si="6"/>
        <v/>
      </c>
      <c r="S98" s="502" t="str">
        <f t="shared" si="7"/>
        <v/>
      </c>
      <c r="T98" s="95" t="s">
        <v>756</v>
      </c>
      <c r="U98" s="95" t="s">
        <v>757</v>
      </c>
      <c r="V98" s="95" t="s">
        <v>758</v>
      </c>
      <c r="W98" s="95" t="s">
        <v>759</v>
      </c>
      <c r="X98" s="95" t="s">
        <v>750</v>
      </c>
      <c r="Z98" s="95" t="s">
        <v>760</v>
      </c>
    </row>
    <row r="99" spans="1:26" x14ac:dyDescent="0.2">
      <c r="A99" s="502" t="s">
        <v>292</v>
      </c>
      <c r="B99" s="469">
        <f>_xlfn.XLOOKUP($A99,'Physical Condition Assessment'!$U:$U,'Physical Condition Assessment'!$E:$E,"!!!!!",0)</f>
        <v>0</v>
      </c>
      <c r="C99" s="469">
        <f>_xlfn.XLOOKUP($A99,'Physical Condition Assessment'!$U:$U,'Physical Condition Assessment'!$F:$F,"!!!!!",0)</f>
        <v>0</v>
      </c>
      <c r="D99" s="469">
        <f>_xlfn.XLOOKUP($A99,'Physical Condition Assessment'!$U:$U,'Physical Condition Assessment'!$H:$H,"!!!!!",0)</f>
        <v>0</v>
      </c>
      <c r="E99" s="469">
        <f>_xlfn.XLOOKUP($A99,'Physical Condition Assessment'!$U:$U,'Physical Condition Assessment'!$J:$J,"!!!!!",0)</f>
        <v>0</v>
      </c>
      <c r="F99" s="469">
        <f>_xlfn.XLOOKUP($A99,'Physical Condition Assessment'!$U:$U,'Physical Condition Assessment'!$L:$L,"!!!!!",0)</f>
        <v>0</v>
      </c>
      <c r="G99" s="469">
        <f>_xlfn.XLOOKUP($A99,'Physical Condition Assessment'!$U:$U,'Physical Condition Assessment'!$N:$N,"!!!!!",0)</f>
        <v>0</v>
      </c>
      <c r="H99" s="469">
        <f>_xlfn.XLOOKUP($A99,'Physical Condition Assessment'!$U:$U,'Physical Condition Assessment'!$P:$P,"!!!!!",0)</f>
        <v>0</v>
      </c>
      <c r="I99" s="525">
        <f>_xlfn.XLOOKUP($A99,'Physical Condition Assessment'!$U:$U,'Physical Condition Assessment'!$R:$R,"!!!!!",0)</f>
        <v>0</v>
      </c>
      <c r="J99" s="471">
        <f>_xlfn.XLOOKUP($A99,'Physical Condition Assessment'!$U:$U,'Physical Condition Assessment'!$S:$S,"!!!!!",0)</f>
        <v>0</v>
      </c>
      <c r="K99" s="469">
        <f>_xlfn.XLOOKUP($A99,'Physical Condition Assessment'!$U:$U,'Physical Condition Assessment'!$T:$T,"!!!!!",0)</f>
        <v>0</v>
      </c>
      <c r="L99" s="502" t="str">
        <f>_xlfn.XLOOKUP($A99,'Physical Condition Assessment'!$U:$U,'Physical Condition Assessment'!$V:$V,"missing",0)</f>
        <v>Safety/Security</v>
      </c>
      <c r="M99" s="469" t="str">
        <f>_xlfn.XLOOKUP($A99,'Physical Condition Assessment'!$U:$U,'Physical Condition Assessment'!$AE:$AE,"!!!!!",0)</f>
        <v>SF</v>
      </c>
      <c r="N99" s="471">
        <f>_xlfn.XLOOKUP($A99,'Physical Condition Assessment'!$U:$U,'Physical Condition Assessment'!$AP:$AP,"!!!!!",0)</f>
        <v>0</v>
      </c>
      <c r="O99" s="526">
        <f t="shared" si="4"/>
        <v>0</v>
      </c>
      <c r="P99" s="502" t="str">
        <f t="shared" si="5"/>
        <v>Green</v>
      </c>
      <c r="R99" s="502" t="str">
        <f t="shared" si="6"/>
        <v/>
      </c>
      <c r="S99" s="502" t="str">
        <f t="shared" si="7"/>
        <v/>
      </c>
      <c r="T99" s="95" t="s">
        <v>761</v>
      </c>
      <c r="U99" s="95" t="s">
        <v>762</v>
      </c>
      <c r="V99" s="95" t="s">
        <v>763</v>
      </c>
      <c r="W99" s="95" t="s">
        <v>762</v>
      </c>
    </row>
    <row r="100" spans="1:26" x14ac:dyDescent="0.2">
      <c r="A100" s="502" t="s">
        <v>295</v>
      </c>
      <c r="B100" s="469">
        <f>_xlfn.XLOOKUP($A100,'Physical Condition Assessment'!$U:$U,'Physical Condition Assessment'!$E:$E,"!!!!!",0)</f>
        <v>0</v>
      </c>
      <c r="C100" s="469">
        <f>_xlfn.XLOOKUP($A100,'Physical Condition Assessment'!$U:$U,'Physical Condition Assessment'!$F:$F,"!!!!!",0)</f>
        <v>0</v>
      </c>
      <c r="D100" s="469">
        <f>_xlfn.XLOOKUP($A100,'Physical Condition Assessment'!$U:$U,'Physical Condition Assessment'!$H:$H,"!!!!!",0)</f>
        <v>0</v>
      </c>
      <c r="E100" s="469">
        <f>_xlfn.XLOOKUP($A100,'Physical Condition Assessment'!$U:$U,'Physical Condition Assessment'!$J:$J,"!!!!!",0)</f>
        <v>0</v>
      </c>
      <c r="F100" s="469">
        <f>_xlfn.XLOOKUP($A100,'Physical Condition Assessment'!$U:$U,'Physical Condition Assessment'!$L:$L,"!!!!!",0)</f>
        <v>0</v>
      </c>
      <c r="G100" s="469">
        <f>_xlfn.XLOOKUP($A100,'Physical Condition Assessment'!$U:$U,'Physical Condition Assessment'!$N:$N,"!!!!!",0)</f>
        <v>0</v>
      </c>
      <c r="H100" s="469">
        <f>_xlfn.XLOOKUP($A100,'Physical Condition Assessment'!$U:$U,'Physical Condition Assessment'!$P:$P,"!!!!!",0)</f>
        <v>0</v>
      </c>
      <c r="I100" s="525">
        <f>_xlfn.XLOOKUP($A100,'Physical Condition Assessment'!$U:$U,'Physical Condition Assessment'!$R:$R,"!!!!!",0)</f>
        <v>0</v>
      </c>
      <c r="J100" s="471">
        <f>_xlfn.XLOOKUP($A100,'Physical Condition Assessment'!$U:$U,'Physical Condition Assessment'!$S:$S,"!!!!!",0)</f>
        <v>0</v>
      </c>
      <c r="K100" s="469">
        <f>_xlfn.XLOOKUP($A100,'Physical Condition Assessment'!$U:$U,'Physical Condition Assessment'!$T:$T,"!!!!!",0)</f>
        <v>0</v>
      </c>
      <c r="L100" s="502" t="str">
        <f>_xlfn.XLOOKUP($A100,'Physical Condition Assessment'!$U:$U,'Physical Condition Assessment'!$V:$V,"missing",0)</f>
        <v>Safety/Security</v>
      </c>
      <c r="M100" s="469" t="str">
        <f>_xlfn.XLOOKUP($A100,'Physical Condition Assessment'!$U:$U,'Physical Condition Assessment'!$AE:$AE,"!!!!!",0)</f>
        <v>SF</v>
      </c>
      <c r="N100" s="471">
        <f>_xlfn.XLOOKUP($A100,'Physical Condition Assessment'!$U:$U,'Physical Condition Assessment'!$AP:$AP,"!!!!!",0)</f>
        <v>0</v>
      </c>
      <c r="O100" s="526">
        <f t="shared" si="4"/>
        <v>0</v>
      </c>
      <c r="P100" s="502" t="str">
        <f t="shared" si="5"/>
        <v>Green</v>
      </c>
      <c r="R100" s="502" t="str">
        <f t="shared" si="6"/>
        <v/>
      </c>
      <c r="S100" s="502" t="str">
        <f t="shared" si="7"/>
        <v/>
      </c>
      <c r="T100" s="95" t="s">
        <v>764</v>
      </c>
      <c r="U100" s="95" t="s">
        <v>765</v>
      </c>
      <c r="V100" s="95" t="s">
        <v>766</v>
      </c>
      <c r="W100" s="95" t="s">
        <v>765</v>
      </c>
    </row>
    <row r="101" spans="1:26" ht="15.75" customHeight="1" x14ac:dyDescent="0.2">
      <c r="A101" s="502" t="s">
        <v>364</v>
      </c>
      <c r="B101" s="469">
        <f>_xlfn.XLOOKUP($A101,'Physical Condition Assessment'!$U:$U,'Physical Condition Assessment'!$E:$E,"!!!!!",0)</f>
        <v>0</v>
      </c>
      <c r="C101" s="469">
        <f>_xlfn.XLOOKUP($A101,'Physical Condition Assessment'!$U:$U,'Physical Condition Assessment'!$F:$F,"!!!!!",0)</f>
        <v>0</v>
      </c>
      <c r="D101" s="469">
        <f>_xlfn.XLOOKUP($A101,'Physical Condition Assessment'!$U:$U,'Physical Condition Assessment'!$H:$H,"!!!!!",0)</f>
        <v>0</v>
      </c>
      <c r="E101" s="469">
        <f>_xlfn.XLOOKUP($A101,'Physical Condition Assessment'!$U:$U,'Physical Condition Assessment'!$J:$J,"!!!!!",0)</f>
        <v>0</v>
      </c>
      <c r="F101" s="469">
        <f>_xlfn.XLOOKUP($A101,'Physical Condition Assessment'!$U:$U,'Physical Condition Assessment'!$L:$L,"!!!!!",0)</f>
        <v>0</v>
      </c>
      <c r="G101" s="469">
        <f>_xlfn.XLOOKUP($A101,'Physical Condition Assessment'!$U:$U,'Physical Condition Assessment'!$N:$N,"!!!!!",0)</f>
        <v>0</v>
      </c>
      <c r="H101" s="469">
        <f>_xlfn.XLOOKUP($A101,'Physical Condition Assessment'!$U:$U,'Physical Condition Assessment'!$P:$P,"!!!!!",0)</f>
        <v>0</v>
      </c>
      <c r="I101" s="525">
        <f>_xlfn.XLOOKUP($A101,'Physical Condition Assessment'!$U:$U,'Physical Condition Assessment'!$R:$R,"!!!!!",0)</f>
        <v>0</v>
      </c>
      <c r="J101" s="471">
        <f>_xlfn.XLOOKUP($A101,'Physical Condition Assessment'!$U:$U,'Physical Condition Assessment'!$S:$S,"!!!!!",0)</f>
        <v>0</v>
      </c>
      <c r="K101" s="469">
        <f>_xlfn.XLOOKUP($A101,'Physical Condition Assessment'!$U:$U,'Physical Condition Assessment'!$T:$T,"!!!!!",0)</f>
        <v>0</v>
      </c>
      <c r="L101" s="502" t="str">
        <f>_xlfn.XLOOKUP($A101,'Physical Condition Assessment'!$U:$U,'Physical Condition Assessment'!$V:$V,"missing",0)</f>
        <v>Plumbing</v>
      </c>
      <c r="M101" s="469" t="str">
        <f>_xlfn.XLOOKUP($A101,'Physical Condition Assessment'!$U:$U,'Physical Condition Assessment'!$AE:$AE,"!!!!!",0)</f>
        <v>Unit</v>
      </c>
      <c r="N101" s="471">
        <f>_xlfn.XLOOKUP($A101,'Physical Condition Assessment'!$U:$U,'Physical Condition Assessment'!$AP:$AP,"!!!!!",0)</f>
        <v>0</v>
      </c>
      <c r="O101" s="526">
        <f t="shared" si="4"/>
        <v>0</v>
      </c>
      <c r="P101" s="502" t="str">
        <f t="shared" si="5"/>
        <v>Green</v>
      </c>
      <c r="R101" s="502" t="str">
        <f t="shared" si="6"/>
        <v/>
      </c>
      <c r="S101" s="502" t="str">
        <f t="shared" si="7"/>
        <v/>
      </c>
      <c r="T101" s="95" t="s">
        <v>767</v>
      </c>
      <c r="U101" s="95" t="s">
        <v>768</v>
      </c>
      <c r="V101" s="95" t="s">
        <v>769</v>
      </c>
      <c r="W101" s="95" t="s">
        <v>750</v>
      </c>
      <c r="X101" s="95" t="s">
        <v>599</v>
      </c>
      <c r="Y101" s="95" t="s">
        <v>363</v>
      </c>
    </row>
    <row r="102" spans="1:26" x14ac:dyDescent="0.2">
      <c r="A102" s="502" t="s">
        <v>366</v>
      </c>
      <c r="B102" s="469">
        <f>_xlfn.XLOOKUP($A102,'Physical Condition Assessment'!$U:$U,'Physical Condition Assessment'!$E:$E,"!!!!!",0)</f>
        <v>0</v>
      </c>
      <c r="C102" s="469">
        <f>_xlfn.XLOOKUP($A102,'Physical Condition Assessment'!$U:$U,'Physical Condition Assessment'!$F:$F,"!!!!!",0)</f>
        <v>0</v>
      </c>
      <c r="D102" s="469">
        <f>_xlfn.XLOOKUP($A102,'Physical Condition Assessment'!$U:$U,'Physical Condition Assessment'!$H:$H,"!!!!!",0)</f>
        <v>0</v>
      </c>
      <c r="E102" s="469">
        <f>_xlfn.XLOOKUP($A102,'Physical Condition Assessment'!$U:$U,'Physical Condition Assessment'!$J:$J,"!!!!!",0)</f>
        <v>0</v>
      </c>
      <c r="F102" s="469">
        <f>_xlfn.XLOOKUP($A102,'Physical Condition Assessment'!$U:$U,'Physical Condition Assessment'!$L:$L,"!!!!!",0)</f>
        <v>0</v>
      </c>
      <c r="G102" s="469">
        <f>_xlfn.XLOOKUP($A102,'Physical Condition Assessment'!$U:$U,'Physical Condition Assessment'!$N:$N,"!!!!!",0)</f>
        <v>0</v>
      </c>
      <c r="H102" s="469">
        <f>_xlfn.XLOOKUP($A102,'Physical Condition Assessment'!$U:$U,'Physical Condition Assessment'!$P:$P,"!!!!!",0)</f>
        <v>0</v>
      </c>
      <c r="I102" s="525">
        <f>_xlfn.XLOOKUP($A102,'Physical Condition Assessment'!$U:$U,'Physical Condition Assessment'!$R:$R,"!!!!!",0)</f>
        <v>0</v>
      </c>
      <c r="J102" s="471">
        <f>_xlfn.XLOOKUP($A102,'Physical Condition Assessment'!$U:$U,'Physical Condition Assessment'!$S:$S,"!!!!!",0)</f>
        <v>0</v>
      </c>
      <c r="K102" s="469">
        <f>_xlfn.XLOOKUP($A102,'Physical Condition Assessment'!$U:$U,'Physical Condition Assessment'!$T:$T,"!!!!!",0)</f>
        <v>0</v>
      </c>
      <c r="L102" s="502" t="str">
        <f>_xlfn.XLOOKUP($A102,'Physical Condition Assessment'!$U:$U,'Physical Condition Assessment'!$V:$V,"missing",0)</f>
        <v>Plumbing</v>
      </c>
      <c r="M102" s="469" t="str">
        <f>_xlfn.XLOOKUP($A102,'Physical Condition Assessment'!$U:$U,'Physical Condition Assessment'!$AE:$AE,"!!!!!",0)</f>
        <v>Unit</v>
      </c>
      <c r="N102" s="471">
        <f>_xlfn.XLOOKUP($A102,'Physical Condition Assessment'!$U:$U,'Physical Condition Assessment'!$AP:$AP,"!!!!!",0)</f>
        <v>0</v>
      </c>
      <c r="O102" s="526">
        <f t="shared" si="4"/>
        <v>0</v>
      </c>
      <c r="P102" s="502" t="str">
        <f t="shared" si="5"/>
        <v>Green</v>
      </c>
      <c r="R102" s="502" t="str">
        <f t="shared" si="6"/>
        <v/>
      </c>
      <c r="S102" s="502" t="str">
        <f t="shared" si="7"/>
        <v/>
      </c>
      <c r="T102" s="95" t="s">
        <v>767</v>
      </c>
      <c r="U102" s="95" t="s">
        <v>770</v>
      </c>
      <c r="V102" s="95" t="s">
        <v>771</v>
      </c>
      <c r="W102" s="95" t="s">
        <v>750</v>
      </c>
      <c r="X102" s="95" t="s">
        <v>599</v>
      </c>
      <c r="Y102" s="95" t="s">
        <v>365</v>
      </c>
    </row>
    <row r="103" spans="1:26" x14ac:dyDescent="0.2">
      <c r="A103" s="502" t="s">
        <v>95</v>
      </c>
      <c r="B103" s="469">
        <f>_xlfn.XLOOKUP($A103,'Physical Condition Assessment'!$U:$U,'Physical Condition Assessment'!$E:$E,"!!!!!",0)</f>
        <v>0</v>
      </c>
      <c r="C103" s="469">
        <f>_xlfn.XLOOKUP($A103,'Physical Condition Assessment'!$U:$U,'Physical Condition Assessment'!$F:$F,"!!!!!",0)</f>
        <v>0</v>
      </c>
      <c r="D103" s="469">
        <f>_xlfn.XLOOKUP($A103,'Physical Condition Assessment'!$U:$U,'Physical Condition Assessment'!$H:$H,"!!!!!",0)</f>
        <v>0</v>
      </c>
      <c r="E103" s="469">
        <f>_xlfn.XLOOKUP($A103,'Physical Condition Assessment'!$U:$U,'Physical Condition Assessment'!$J:$J,"!!!!!",0)</f>
        <v>0</v>
      </c>
      <c r="F103" s="469">
        <f>_xlfn.XLOOKUP($A103,'Physical Condition Assessment'!$U:$U,'Physical Condition Assessment'!$L:$L,"!!!!!",0)</f>
        <v>0</v>
      </c>
      <c r="G103" s="469">
        <f>_xlfn.XLOOKUP($A103,'Physical Condition Assessment'!$U:$U,'Physical Condition Assessment'!$N:$N,"!!!!!",0)</f>
        <v>0</v>
      </c>
      <c r="H103" s="469">
        <f>_xlfn.XLOOKUP($A103,'Physical Condition Assessment'!$U:$U,'Physical Condition Assessment'!$P:$P,"!!!!!",0)</f>
        <v>0</v>
      </c>
      <c r="I103" s="525">
        <f>_xlfn.XLOOKUP($A103,'Physical Condition Assessment'!$U:$U,'Physical Condition Assessment'!$R:$R,"!!!!!",0)</f>
        <v>0</v>
      </c>
      <c r="J103" s="471">
        <f>_xlfn.XLOOKUP($A103,'Physical Condition Assessment'!$U:$U,'Physical Condition Assessment'!$S:$S,"!!!!!",0)</f>
        <v>0</v>
      </c>
      <c r="K103" s="469">
        <f>_xlfn.XLOOKUP($A103,'Physical Condition Assessment'!$U:$U,'Physical Condition Assessment'!$T:$T,"!!!!!",0)</f>
        <v>0</v>
      </c>
      <c r="L103" s="502" t="str">
        <f>_xlfn.XLOOKUP($A103,'Physical Condition Assessment'!$U:$U,'Physical Condition Assessment'!$V:$V,"missing",0)</f>
        <v>Roofing</v>
      </c>
      <c r="M103" s="469" t="str">
        <f>_xlfn.XLOOKUP($A103,'Physical Condition Assessment'!$U:$U,'Physical Condition Assessment'!$AE:$AE,"!!!!!",0)</f>
        <v>SF</v>
      </c>
      <c r="N103" s="471">
        <f>_xlfn.XLOOKUP($A103,'Physical Condition Assessment'!$U:$U,'Physical Condition Assessment'!$AP:$AP,"!!!!!",0)</f>
        <v>0</v>
      </c>
      <c r="O103" s="526">
        <f t="shared" si="4"/>
        <v>0</v>
      </c>
      <c r="P103" s="502" t="str">
        <f t="shared" si="5"/>
        <v>Green</v>
      </c>
      <c r="R103" s="502" t="str">
        <f t="shared" si="6"/>
        <v/>
      </c>
      <c r="S103" s="502" t="str">
        <f t="shared" si="7"/>
        <v/>
      </c>
      <c r="T103" s="95" t="s">
        <v>517</v>
      </c>
      <c r="U103" s="95" t="s">
        <v>772</v>
      </c>
      <c r="V103" s="95" t="s">
        <v>773</v>
      </c>
      <c r="W103" s="95" t="s">
        <v>520</v>
      </c>
      <c r="X103" s="95" t="s">
        <v>512</v>
      </c>
      <c r="Y103" s="95" t="s">
        <v>88</v>
      </c>
    </row>
    <row r="104" spans="1:26" x14ac:dyDescent="0.2">
      <c r="A104" s="502" t="s">
        <v>94</v>
      </c>
      <c r="B104" s="469">
        <f>_xlfn.XLOOKUP($A104,'Physical Condition Assessment'!$U:$U,'Physical Condition Assessment'!$E:$E,"!!!!!",0)</f>
        <v>0</v>
      </c>
      <c r="C104" s="469">
        <f>_xlfn.XLOOKUP($A104,'Physical Condition Assessment'!$U:$U,'Physical Condition Assessment'!$F:$F,"!!!!!",0)</f>
        <v>0</v>
      </c>
      <c r="D104" s="469">
        <f>_xlfn.XLOOKUP($A104,'Physical Condition Assessment'!$U:$U,'Physical Condition Assessment'!$H:$H,"!!!!!",0)</f>
        <v>0</v>
      </c>
      <c r="E104" s="469">
        <f>_xlfn.XLOOKUP($A104,'Physical Condition Assessment'!$U:$U,'Physical Condition Assessment'!$J:$J,"!!!!!",0)</f>
        <v>0</v>
      </c>
      <c r="F104" s="469">
        <f>_xlfn.XLOOKUP($A104,'Physical Condition Assessment'!$U:$U,'Physical Condition Assessment'!$L:$L,"!!!!!",0)</f>
        <v>0</v>
      </c>
      <c r="G104" s="469">
        <f>_xlfn.XLOOKUP($A104,'Physical Condition Assessment'!$U:$U,'Physical Condition Assessment'!$N:$N,"!!!!!",0)</f>
        <v>0</v>
      </c>
      <c r="H104" s="469">
        <f>_xlfn.XLOOKUP($A104,'Physical Condition Assessment'!$U:$U,'Physical Condition Assessment'!$P:$P,"!!!!!",0)</f>
        <v>0</v>
      </c>
      <c r="I104" s="525">
        <f>_xlfn.XLOOKUP($A104,'Physical Condition Assessment'!$U:$U,'Physical Condition Assessment'!$R:$R,"!!!!!",0)</f>
        <v>0</v>
      </c>
      <c r="J104" s="471">
        <f>_xlfn.XLOOKUP($A104,'Physical Condition Assessment'!$U:$U,'Physical Condition Assessment'!$S:$S,"!!!!!",0)</f>
        <v>0</v>
      </c>
      <c r="K104" s="469">
        <f>_xlfn.XLOOKUP($A104,'Physical Condition Assessment'!$U:$U,'Physical Condition Assessment'!$T:$T,"!!!!!",0)</f>
        <v>0</v>
      </c>
      <c r="L104" s="502" t="str">
        <f>_xlfn.XLOOKUP($A104,'Physical Condition Assessment'!$U:$U,'Physical Condition Assessment'!$V:$V,"missing",0)</f>
        <v>Roofing</v>
      </c>
      <c r="M104" s="469" t="str">
        <f>_xlfn.XLOOKUP($A104,'Physical Condition Assessment'!$U:$U,'Physical Condition Assessment'!$AE:$AE,"!!!!!",0)</f>
        <v>SF</v>
      </c>
      <c r="N104" s="471">
        <f>_xlfn.XLOOKUP($A104,'Physical Condition Assessment'!$U:$U,'Physical Condition Assessment'!$AP:$AP,"!!!!!",0)</f>
        <v>0</v>
      </c>
      <c r="O104" s="526">
        <f t="shared" si="4"/>
        <v>0</v>
      </c>
      <c r="P104" s="502" t="str">
        <f t="shared" si="5"/>
        <v>Green</v>
      </c>
      <c r="R104" s="502" t="str">
        <f t="shared" si="6"/>
        <v/>
      </c>
      <c r="S104" s="502" t="str">
        <f t="shared" si="7"/>
        <v/>
      </c>
      <c r="T104" s="95" t="s">
        <v>517</v>
      </c>
      <c r="U104" s="95" t="s">
        <v>774</v>
      </c>
      <c r="V104" s="95" t="s">
        <v>775</v>
      </c>
      <c r="W104" s="95" t="s">
        <v>520</v>
      </c>
      <c r="X104" s="95" t="s">
        <v>512</v>
      </c>
      <c r="Y104" s="95" t="s">
        <v>86</v>
      </c>
    </row>
    <row r="105" spans="1:26" x14ac:dyDescent="0.2">
      <c r="A105" s="502" t="s">
        <v>138</v>
      </c>
      <c r="B105" s="469">
        <f>_xlfn.XLOOKUP($A105,'Physical Condition Assessment'!$U:$U,'Physical Condition Assessment'!$E:$E,"!!!!!",0)</f>
        <v>0</v>
      </c>
      <c r="C105" s="469">
        <f>_xlfn.XLOOKUP($A105,'Physical Condition Assessment'!$U:$U,'Physical Condition Assessment'!$F:$F,"!!!!!",0)</f>
        <v>0</v>
      </c>
      <c r="D105" s="469">
        <f>_xlfn.XLOOKUP($A105,'Physical Condition Assessment'!$U:$U,'Physical Condition Assessment'!$H:$H,"!!!!!",0)</f>
        <v>0</v>
      </c>
      <c r="E105" s="469">
        <f>_xlfn.XLOOKUP($A105,'Physical Condition Assessment'!$U:$U,'Physical Condition Assessment'!$J:$J,"!!!!!",0)</f>
        <v>0</v>
      </c>
      <c r="F105" s="469">
        <f>_xlfn.XLOOKUP($A105,'Physical Condition Assessment'!$U:$U,'Physical Condition Assessment'!$L:$L,"!!!!!",0)</f>
        <v>0</v>
      </c>
      <c r="G105" s="469">
        <f>_xlfn.XLOOKUP($A105,'Physical Condition Assessment'!$U:$U,'Physical Condition Assessment'!$N:$N,"!!!!!",0)</f>
        <v>0</v>
      </c>
      <c r="H105" s="469">
        <f>_xlfn.XLOOKUP($A105,'Physical Condition Assessment'!$U:$U,'Physical Condition Assessment'!$P:$P,"!!!!!",0)</f>
        <v>0</v>
      </c>
      <c r="I105" s="525">
        <f>_xlfn.XLOOKUP($A105,'Physical Condition Assessment'!$U:$U,'Physical Condition Assessment'!$R:$R,"!!!!!",0)</f>
        <v>0</v>
      </c>
      <c r="J105" s="471">
        <f>_xlfn.XLOOKUP($A105,'Physical Condition Assessment'!$U:$U,'Physical Condition Assessment'!$S:$S,"!!!!!",0)</f>
        <v>0</v>
      </c>
      <c r="K105" s="469">
        <f>_xlfn.XLOOKUP($A105,'Physical Condition Assessment'!$U:$U,'Physical Condition Assessment'!$T:$T,"!!!!!",0)</f>
        <v>0</v>
      </c>
      <c r="L105" s="502" t="str">
        <f>_xlfn.XLOOKUP($A105,'Physical Condition Assessment'!$U:$U,'Physical Condition Assessment'!$V:$V,"missing",0)</f>
        <v>Roofing</v>
      </c>
      <c r="M105" s="469" t="str">
        <f>_xlfn.XLOOKUP($A105,'Physical Condition Assessment'!$U:$U,'Physical Condition Assessment'!$AE:$AE,"!!!!!",0)</f>
        <v>SF</v>
      </c>
      <c r="N105" s="471">
        <f>_xlfn.XLOOKUP($A105,'Physical Condition Assessment'!$U:$U,'Physical Condition Assessment'!$AP:$AP,"!!!!!",0)</f>
        <v>0</v>
      </c>
      <c r="O105" s="526">
        <f t="shared" si="4"/>
        <v>0</v>
      </c>
      <c r="P105" s="502" t="str">
        <f t="shared" si="5"/>
        <v>Green</v>
      </c>
      <c r="R105" s="502" t="str">
        <f t="shared" si="6"/>
        <v/>
      </c>
      <c r="S105" s="502" t="str">
        <f t="shared" si="7"/>
        <v/>
      </c>
      <c r="T105" s="95" t="s">
        <v>776</v>
      </c>
      <c r="U105" s="95" t="s">
        <v>777</v>
      </c>
      <c r="V105" s="95" t="s">
        <v>778</v>
      </c>
      <c r="W105" s="95" t="s">
        <v>520</v>
      </c>
      <c r="X105" s="95" t="s">
        <v>779</v>
      </c>
      <c r="Y105" s="95" t="s">
        <v>780</v>
      </c>
      <c r="Z105" s="95" t="s">
        <v>781</v>
      </c>
    </row>
    <row r="106" spans="1:26" x14ac:dyDescent="0.2">
      <c r="A106" s="502" t="s">
        <v>146</v>
      </c>
      <c r="B106" s="469">
        <f>_xlfn.XLOOKUP($A106,'Physical Condition Assessment'!$U:$U,'Physical Condition Assessment'!$E:$E,"!!!!!",0)</f>
        <v>0</v>
      </c>
      <c r="C106" s="469">
        <f>_xlfn.XLOOKUP($A106,'Physical Condition Assessment'!$U:$U,'Physical Condition Assessment'!$F:$F,"!!!!!",0)</f>
        <v>0</v>
      </c>
      <c r="D106" s="469">
        <f>_xlfn.XLOOKUP($A106,'Physical Condition Assessment'!$U:$U,'Physical Condition Assessment'!$H:$H,"!!!!!",0)</f>
        <v>0</v>
      </c>
      <c r="E106" s="469">
        <f>_xlfn.XLOOKUP($A106,'Physical Condition Assessment'!$U:$U,'Physical Condition Assessment'!$J:$J,"!!!!!",0)</f>
        <v>0</v>
      </c>
      <c r="F106" s="469">
        <f>_xlfn.XLOOKUP($A106,'Physical Condition Assessment'!$U:$U,'Physical Condition Assessment'!$L:$L,"!!!!!",0)</f>
        <v>0</v>
      </c>
      <c r="G106" s="469">
        <f>_xlfn.XLOOKUP($A106,'Physical Condition Assessment'!$U:$U,'Physical Condition Assessment'!$N:$N,"!!!!!",0)</f>
        <v>0</v>
      </c>
      <c r="H106" s="469">
        <f>_xlfn.XLOOKUP($A106,'Physical Condition Assessment'!$U:$U,'Physical Condition Assessment'!$P:$P,"!!!!!",0)</f>
        <v>0</v>
      </c>
      <c r="I106" s="525">
        <f>_xlfn.XLOOKUP($A106,'Physical Condition Assessment'!$U:$U,'Physical Condition Assessment'!$R:$R,"!!!!!",0)</f>
        <v>0</v>
      </c>
      <c r="J106" s="471">
        <f>_xlfn.XLOOKUP($A106,'Physical Condition Assessment'!$U:$U,'Physical Condition Assessment'!$S:$S,"!!!!!",0)</f>
        <v>0</v>
      </c>
      <c r="K106" s="469">
        <f>_xlfn.XLOOKUP($A106,'Physical Condition Assessment'!$U:$U,'Physical Condition Assessment'!$T:$T,"!!!!!",0)</f>
        <v>0</v>
      </c>
      <c r="L106" s="502" t="str">
        <f>_xlfn.XLOOKUP($A106,'Physical Condition Assessment'!$U:$U,'Physical Condition Assessment'!$V:$V,"missing",0)</f>
        <v>Roofing</v>
      </c>
      <c r="M106" s="469" t="str">
        <f>_xlfn.XLOOKUP($A106,'Physical Condition Assessment'!$U:$U,'Physical Condition Assessment'!$AE:$AE,"!!!!!",0)</f>
        <v>SF</v>
      </c>
      <c r="N106" s="471">
        <f>_xlfn.XLOOKUP($A106,'Physical Condition Assessment'!$U:$U,'Physical Condition Assessment'!$AP:$AP,"!!!!!",0)</f>
        <v>0</v>
      </c>
      <c r="O106" s="526">
        <f t="shared" si="4"/>
        <v>0</v>
      </c>
      <c r="P106" s="502" t="str">
        <f t="shared" si="5"/>
        <v>Green</v>
      </c>
      <c r="R106" s="502" t="str">
        <f t="shared" si="6"/>
        <v/>
      </c>
      <c r="S106" s="502" t="str">
        <f t="shared" si="7"/>
        <v/>
      </c>
      <c r="T106" s="95" t="s">
        <v>776</v>
      </c>
      <c r="U106" s="95" t="s">
        <v>782</v>
      </c>
      <c r="V106" s="95" t="s">
        <v>783</v>
      </c>
      <c r="W106" s="95" t="s">
        <v>520</v>
      </c>
      <c r="X106" s="95" t="s">
        <v>779</v>
      </c>
      <c r="Y106" s="95" t="s">
        <v>145</v>
      </c>
    </row>
    <row r="107" spans="1:26" x14ac:dyDescent="0.2">
      <c r="A107" s="502" t="s">
        <v>152</v>
      </c>
      <c r="B107" s="469">
        <f>_xlfn.XLOOKUP($A107,'Physical Condition Assessment'!$U:$U,'Physical Condition Assessment'!$E:$E,"!!!!!",0)</f>
        <v>0</v>
      </c>
      <c r="C107" s="469">
        <f>_xlfn.XLOOKUP($A107,'Physical Condition Assessment'!$U:$U,'Physical Condition Assessment'!$F:$F,"!!!!!",0)</f>
        <v>0</v>
      </c>
      <c r="D107" s="469">
        <f>_xlfn.XLOOKUP($A107,'Physical Condition Assessment'!$U:$U,'Physical Condition Assessment'!$H:$H,"!!!!!",0)</f>
        <v>0</v>
      </c>
      <c r="E107" s="469">
        <f>_xlfn.XLOOKUP($A107,'Physical Condition Assessment'!$U:$U,'Physical Condition Assessment'!$J:$J,"!!!!!",0)</f>
        <v>0</v>
      </c>
      <c r="F107" s="469">
        <f>_xlfn.XLOOKUP($A107,'Physical Condition Assessment'!$U:$U,'Physical Condition Assessment'!$L:$L,"!!!!!",0)</f>
        <v>0</v>
      </c>
      <c r="G107" s="469">
        <f>_xlfn.XLOOKUP($A107,'Physical Condition Assessment'!$U:$U,'Physical Condition Assessment'!$N:$N,"!!!!!",0)</f>
        <v>0</v>
      </c>
      <c r="H107" s="469">
        <f>_xlfn.XLOOKUP($A107,'Physical Condition Assessment'!$U:$U,'Physical Condition Assessment'!$P:$P,"!!!!!",0)</f>
        <v>0</v>
      </c>
      <c r="I107" s="525">
        <f>_xlfn.XLOOKUP($A107,'Physical Condition Assessment'!$U:$U,'Physical Condition Assessment'!$R:$R,"!!!!!",0)</f>
        <v>0</v>
      </c>
      <c r="J107" s="471">
        <f>_xlfn.XLOOKUP($A107,'Physical Condition Assessment'!$U:$U,'Physical Condition Assessment'!$S:$S,"!!!!!",0)</f>
        <v>0</v>
      </c>
      <c r="K107" s="469">
        <f>_xlfn.XLOOKUP($A107,'Physical Condition Assessment'!$U:$U,'Physical Condition Assessment'!$T:$T,"!!!!!",0)</f>
        <v>0</v>
      </c>
      <c r="L107" s="502" t="str">
        <f>_xlfn.XLOOKUP($A107,'Physical Condition Assessment'!$U:$U,'Physical Condition Assessment'!$V:$V,"missing",0)</f>
        <v>Roofing</v>
      </c>
      <c r="M107" s="469" t="str">
        <f>_xlfn.XLOOKUP($A107,'Physical Condition Assessment'!$U:$U,'Physical Condition Assessment'!$AE:$AE,"!!!!!",0)</f>
        <v>SF</v>
      </c>
      <c r="N107" s="471">
        <f>_xlfn.XLOOKUP($A107,'Physical Condition Assessment'!$U:$U,'Physical Condition Assessment'!$AP:$AP,"!!!!!",0)</f>
        <v>0</v>
      </c>
      <c r="O107" s="526">
        <f t="shared" si="4"/>
        <v>0</v>
      </c>
      <c r="P107" s="502" t="str">
        <f t="shared" si="5"/>
        <v>Green</v>
      </c>
      <c r="R107" s="502" t="str">
        <f t="shared" si="6"/>
        <v/>
      </c>
      <c r="S107" s="502" t="str">
        <f t="shared" si="7"/>
        <v/>
      </c>
      <c r="T107" s="95" t="s">
        <v>776</v>
      </c>
      <c r="U107" s="95" t="s">
        <v>784</v>
      </c>
      <c r="V107" s="95" t="s">
        <v>785</v>
      </c>
      <c r="W107" s="95" t="s">
        <v>520</v>
      </c>
      <c r="X107" s="95" t="s">
        <v>779</v>
      </c>
      <c r="Y107" s="95" t="s">
        <v>88</v>
      </c>
      <c r="Z107" s="95" t="s">
        <v>529</v>
      </c>
    </row>
    <row r="108" spans="1:26" x14ac:dyDescent="0.2">
      <c r="A108" s="502" t="s">
        <v>142</v>
      </c>
      <c r="B108" s="469">
        <f>_xlfn.XLOOKUP($A108,'Physical Condition Assessment'!$U:$U,'Physical Condition Assessment'!$E:$E,"!!!!!",0)</f>
        <v>0</v>
      </c>
      <c r="C108" s="469">
        <f>_xlfn.XLOOKUP($A108,'Physical Condition Assessment'!$U:$U,'Physical Condition Assessment'!$F:$F,"!!!!!",0)</f>
        <v>0</v>
      </c>
      <c r="D108" s="469">
        <f>_xlfn.XLOOKUP($A108,'Physical Condition Assessment'!$U:$U,'Physical Condition Assessment'!$H:$H,"!!!!!",0)</f>
        <v>0</v>
      </c>
      <c r="E108" s="469">
        <f>_xlfn.XLOOKUP($A108,'Physical Condition Assessment'!$U:$U,'Physical Condition Assessment'!$J:$J,"!!!!!",0)</f>
        <v>0</v>
      </c>
      <c r="F108" s="469">
        <f>_xlfn.XLOOKUP($A108,'Physical Condition Assessment'!$U:$U,'Physical Condition Assessment'!$L:$L,"!!!!!",0)</f>
        <v>0</v>
      </c>
      <c r="G108" s="469">
        <f>_xlfn.XLOOKUP($A108,'Physical Condition Assessment'!$U:$U,'Physical Condition Assessment'!$N:$N,"!!!!!",0)</f>
        <v>0</v>
      </c>
      <c r="H108" s="469">
        <f>_xlfn.XLOOKUP($A108,'Physical Condition Assessment'!$U:$U,'Physical Condition Assessment'!$P:$P,"!!!!!",0)</f>
        <v>0</v>
      </c>
      <c r="I108" s="525">
        <f>_xlfn.XLOOKUP($A108,'Physical Condition Assessment'!$U:$U,'Physical Condition Assessment'!$R:$R,"!!!!!",0)</f>
        <v>0</v>
      </c>
      <c r="J108" s="471">
        <f>_xlfn.XLOOKUP($A108,'Physical Condition Assessment'!$U:$U,'Physical Condition Assessment'!$S:$S,"!!!!!",0)</f>
        <v>0</v>
      </c>
      <c r="K108" s="469">
        <f>_xlfn.XLOOKUP($A108,'Physical Condition Assessment'!$U:$U,'Physical Condition Assessment'!$T:$T,"!!!!!",0)</f>
        <v>0</v>
      </c>
      <c r="L108" s="502" t="str">
        <f>_xlfn.XLOOKUP($A108,'Physical Condition Assessment'!$U:$U,'Physical Condition Assessment'!$V:$V,"missing",0)</f>
        <v>Roofing</v>
      </c>
      <c r="M108" s="469" t="str">
        <f>_xlfn.XLOOKUP($A108,'Physical Condition Assessment'!$U:$U,'Physical Condition Assessment'!$AE:$AE,"!!!!!",0)</f>
        <v>SF</v>
      </c>
      <c r="N108" s="471">
        <f>_xlfn.XLOOKUP($A108,'Physical Condition Assessment'!$U:$U,'Physical Condition Assessment'!$AP:$AP,"!!!!!",0)</f>
        <v>0</v>
      </c>
      <c r="O108" s="526">
        <f t="shared" si="4"/>
        <v>0</v>
      </c>
      <c r="P108" s="502" t="str">
        <f t="shared" si="5"/>
        <v>Green</v>
      </c>
      <c r="R108" s="502" t="str">
        <f t="shared" si="6"/>
        <v/>
      </c>
      <c r="S108" s="502" t="str">
        <f t="shared" si="7"/>
        <v/>
      </c>
      <c r="T108" s="95" t="s">
        <v>776</v>
      </c>
      <c r="U108" s="95" t="s">
        <v>786</v>
      </c>
      <c r="V108" s="95" t="s">
        <v>787</v>
      </c>
      <c r="W108" s="95" t="s">
        <v>520</v>
      </c>
      <c r="X108" s="95" t="s">
        <v>779</v>
      </c>
      <c r="Y108" s="95" t="s">
        <v>141</v>
      </c>
    </row>
    <row r="109" spans="1:26" x14ac:dyDescent="0.2">
      <c r="A109" s="502" t="s">
        <v>150</v>
      </c>
      <c r="B109" s="469">
        <f>_xlfn.XLOOKUP($A109,'Physical Condition Assessment'!$U:$U,'Physical Condition Assessment'!$E:$E,"!!!!!",0)</f>
        <v>0</v>
      </c>
      <c r="C109" s="469">
        <f>_xlfn.XLOOKUP($A109,'Physical Condition Assessment'!$U:$U,'Physical Condition Assessment'!$F:$F,"!!!!!",0)</f>
        <v>0</v>
      </c>
      <c r="D109" s="469">
        <f>_xlfn.XLOOKUP($A109,'Physical Condition Assessment'!$U:$U,'Physical Condition Assessment'!$H:$H,"!!!!!",0)</f>
        <v>0</v>
      </c>
      <c r="E109" s="469">
        <f>_xlfn.XLOOKUP($A109,'Physical Condition Assessment'!$U:$U,'Physical Condition Assessment'!$J:$J,"!!!!!",0)</f>
        <v>0</v>
      </c>
      <c r="F109" s="469">
        <f>_xlfn.XLOOKUP($A109,'Physical Condition Assessment'!$U:$U,'Physical Condition Assessment'!$L:$L,"!!!!!",0)</f>
        <v>0</v>
      </c>
      <c r="G109" s="469">
        <f>_xlfn.XLOOKUP($A109,'Physical Condition Assessment'!$U:$U,'Physical Condition Assessment'!$N:$N,"!!!!!",0)</f>
        <v>0</v>
      </c>
      <c r="H109" s="469">
        <f>_xlfn.XLOOKUP($A109,'Physical Condition Assessment'!$U:$U,'Physical Condition Assessment'!$P:$P,"!!!!!",0)</f>
        <v>0</v>
      </c>
      <c r="I109" s="525">
        <f>_xlfn.XLOOKUP($A109,'Physical Condition Assessment'!$U:$U,'Physical Condition Assessment'!$R:$R,"!!!!!",0)</f>
        <v>0</v>
      </c>
      <c r="J109" s="471">
        <f>_xlfn.XLOOKUP($A109,'Physical Condition Assessment'!$U:$U,'Physical Condition Assessment'!$S:$S,"!!!!!",0)</f>
        <v>0</v>
      </c>
      <c r="K109" s="469">
        <f>_xlfn.XLOOKUP($A109,'Physical Condition Assessment'!$U:$U,'Physical Condition Assessment'!$T:$T,"!!!!!",0)</f>
        <v>0</v>
      </c>
      <c r="L109" s="502" t="str">
        <f>_xlfn.XLOOKUP($A109,'Physical Condition Assessment'!$U:$U,'Physical Condition Assessment'!$V:$V,"missing",0)</f>
        <v>Roofing</v>
      </c>
      <c r="M109" s="469" t="str">
        <f>_xlfn.XLOOKUP($A109,'Physical Condition Assessment'!$U:$U,'Physical Condition Assessment'!$AE:$AE,"!!!!!",0)</f>
        <v>SF</v>
      </c>
      <c r="N109" s="471">
        <f>_xlfn.XLOOKUP($A109,'Physical Condition Assessment'!$U:$U,'Physical Condition Assessment'!$AP:$AP,"!!!!!",0)</f>
        <v>0</v>
      </c>
      <c r="O109" s="526">
        <f t="shared" si="4"/>
        <v>0</v>
      </c>
      <c r="P109" s="502" t="str">
        <f t="shared" si="5"/>
        <v>Green</v>
      </c>
      <c r="R109" s="502" t="str">
        <f t="shared" si="6"/>
        <v/>
      </c>
      <c r="S109" s="502" t="str">
        <f t="shared" si="7"/>
        <v/>
      </c>
      <c r="T109" s="95" t="s">
        <v>776</v>
      </c>
      <c r="U109" s="95" t="s">
        <v>788</v>
      </c>
      <c r="V109" s="95" t="s">
        <v>789</v>
      </c>
      <c r="W109" s="95" t="s">
        <v>520</v>
      </c>
      <c r="X109" s="95" t="s">
        <v>779</v>
      </c>
      <c r="Y109" s="95" t="s">
        <v>149</v>
      </c>
    </row>
    <row r="110" spans="1:26" x14ac:dyDescent="0.2">
      <c r="A110" s="502" t="s">
        <v>140</v>
      </c>
      <c r="B110" s="469">
        <f>_xlfn.XLOOKUP($A110,'Physical Condition Assessment'!$U:$U,'Physical Condition Assessment'!$E:$E,"!!!!!",0)</f>
        <v>0</v>
      </c>
      <c r="C110" s="469">
        <f>_xlfn.XLOOKUP($A110,'Physical Condition Assessment'!$U:$U,'Physical Condition Assessment'!$F:$F,"!!!!!",0)</f>
        <v>0</v>
      </c>
      <c r="D110" s="469">
        <f>_xlfn.XLOOKUP($A110,'Physical Condition Assessment'!$U:$U,'Physical Condition Assessment'!$H:$H,"!!!!!",0)</f>
        <v>0</v>
      </c>
      <c r="E110" s="469">
        <f>_xlfn.XLOOKUP($A110,'Physical Condition Assessment'!$U:$U,'Physical Condition Assessment'!$J:$J,"!!!!!",0)</f>
        <v>0</v>
      </c>
      <c r="F110" s="469">
        <f>_xlfn.XLOOKUP($A110,'Physical Condition Assessment'!$U:$U,'Physical Condition Assessment'!$L:$L,"!!!!!",0)</f>
        <v>0</v>
      </c>
      <c r="G110" s="469">
        <f>_xlfn.XLOOKUP($A110,'Physical Condition Assessment'!$U:$U,'Physical Condition Assessment'!$N:$N,"!!!!!",0)</f>
        <v>0</v>
      </c>
      <c r="H110" s="469">
        <f>_xlfn.XLOOKUP($A110,'Physical Condition Assessment'!$U:$U,'Physical Condition Assessment'!$P:$P,"!!!!!",0)</f>
        <v>0</v>
      </c>
      <c r="I110" s="525">
        <f>_xlfn.XLOOKUP($A110,'Physical Condition Assessment'!$U:$U,'Physical Condition Assessment'!$R:$R,"!!!!!",0)</f>
        <v>0</v>
      </c>
      <c r="J110" s="471">
        <f>_xlfn.XLOOKUP($A110,'Physical Condition Assessment'!$U:$U,'Physical Condition Assessment'!$S:$S,"!!!!!",0)</f>
        <v>0</v>
      </c>
      <c r="K110" s="469">
        <f>_xlfn.XLOOKUP($A110,'Physical Condition Assessment'!$U:$U,'Physical Condition Assessment'!$T:$T,"!!!!!",0)</f>
        <v>0</v>
      </c>
      <c r="L110" s="502" t="str">
        <f>_xlfn.XLOOKUP($A110,'Physical Condition Assessment'!$U:$U,'Physical Condition Assessment'!$V:$V,"missing",0)</f>
        <v>Roofing</v>
      </c>
      <c r="M110" s="469" t="str">
        <f>_xlfn.XLOOKUP($A110,'Physical Condition Assessment'!$U:$U,'Physical Condition Assessment'!$AE:$AE,"!!!!!",0)</f>
        <v>SF</v>
      </c>
      <c r="N110" s="471">
        <f>_xlfn.XLOOKUP($A110,'Physical Condition Assessment'!$U:$U,'Physical Condition Assessment'!$AP:$AP,"!!!!!",0)</f>
        <v>0</v>
      </c>
      <c r="O110" s="526">
        <f t="shared" si="4"/>
        <v>0</v>
      </c>
      <c r="P110" s="502" t="str">
        <f t="shared" si="5"/>
        <v>Green</v>
      </c>
      <c r="R110" s="502" t="str">
        <f t="shared" si="6"/>
        <v/>
      </c>
      <c r="S110" s="502" t="str">
        <f t="shared" si="7"/>
        <v/>
      </c>
      <c r="T110" s="95" t="s">
        <v>776</v>
      </c>
      <c r="U110" s="95" t="s">
        <v>790</v>
      </c>
      <c r="V110" s="95" t="s">
        <v>791</v>
      </c>
      <c r="W110" s="95" t="s">
        <v>520</v>
      </c>
      <c r="X110" s="95" t="s">
        <v>779</v>
      </c>
      <c r="Y110" s="95" t="s">
        <v>792</v>
      </c>
      <c r="Z110" s="95" t="s">
        <v>793</v>
      </c>
    </row>
    <row r="111" spans="1:26" x14ac:dyDescent="0.2">
      <c r="A111" s="502" t="s">
        <v>148</v>
      </c>
      <c r="B111" s="469">
        <f>_xlfn.XLOOKUP($A111,'Physical Condition Assessment'!$U:$U,'Physical Condition Assessment'!$E:$E,"!!!!!",0)</f>
        <v>0</v>
      </c>
      <c r="C111" s="469">
        <f>_xlfn.XLOOKUP($A111,'Physical Condition Assessment'!$U:$U,'Physical Condition Assessment'!$F:$F,"!!!!!",0)</f>
        <v>0</v>
      </c>
      <c r="D111" s="469">
        <f>_xlfn.XLOOKUP($A111,'Physical Condition Assessment'!$U:$U,'Physical Condition Assessment'!$H:$H,"!!!!!",0)</f>
        <v>0</v>
      </c>
      <c r="E111" s="469">
        <f>_xlfn.XLOOKUP($A111,'Physical Condition Assessment'!$U:$U,'Physical Condition Assessment'!$J:$J,"!!!!!",0)</f>
        <v>0</v>
      </c>
      <c r="F111" s="469">
        <f>_xlfn.XLOOKUP($A111,'Physical Condition Assessment'!$U:$U,'Physical Condition Assessment'!$L:$L,"!!!!!",0)</f>
        <v>0</v>
      </c>
      <c r="G111" s="469">
        <f>_xlfn.XLOOKUP($A111,'Physical Condition Assessment'!$U:$U,'Physical Condition Assessment'!$N:$N,"!!!!!",0)</f>
        <v>0</v>
      </c>
      <c r="H111" s="469">
        <f>_xlfn.XLOOKUP($A111,'Physical Condition Assessment'!$U:$U,'Physical Condition Assessment'!$P:$P,"!!!!!",0)</f>
        <v>0</v>
      </c>
      <c r="I111" s="525">
        <f>_xlfn.XLOOKUP($A111,'Physical Condition Assessment'!$U:$U,'Physical Condition Assessment'!$R:$R,"!!!!!",0)</f>
        <v>0</v>
      </c>
      <c r="J111" s="471">
        <f>_xlfn.XLOOKUP($A111,'Physical Condition Assessment'!$U:$U,'Physical Condition Assessment'!$S:$S,"!!!!!",0)</f>
        <v>0</v>
      </c>
      <c r="K111" s="469">
        <f>_xlfn.XLOOKUP($A111,'Physical Condition Assessment'!$U:$U,'Physical Condition Assessment'!$T:$T,"!!!!!",0)</f>
        <v>0</v>
      </c>
      <c r="L111" s="502" t="str">
        <f>_xlfn.XLOOKUP($A111,'Physical Condition Assessment'!$U:$U,'Physical Condition Assessment'!$V:$V,"missing",0)</f>
        <v>Roofing</v>
      </c>
      <c r="M111" s="469" t="str">
        <f>_xlfn.XLOOKUP($A111,'Physical Condition Assessment'!$U:$U,'Physical Condition Assessment'!$AE:$AE,"!!!!!",0)</f>
        <v>SF</v>
      </c>
      <c r="N111" s="471">
        <f>_xlfn.XLOOKUP($A111,'Physical Condition Assessment'!$U:$U,'Physical Condition Assessment'!$AP:$AP,"!!!!!",0)</f>
        <v>0</v>
      </c>
      <c r="O111" s="526">
        <f t="shared" si="4"/>
        <v>0</v>
      </c>
      <c r="P111" s="502" t="str">
        <f t="shared" si="5"/>
        <v>Green</v>
      </c>
      <c r="R111" s="502" t="str">
        <f t="shared" si="6"/>
        <v/>
      </c>
      <c r="S111" s="502" t="str">
        <f t="shared" si="7"/>
        <v/>
      </c>
      <c r="T111" s="95" t="s">
        <v>776</v>
      </c>
      <c r="U111" s="95" t="s">
        <v>794</v>
      </c>
      <c r="V111" s="95" t="s">
        <v>795</v>
      </c>
      <c r="W111" s="95" t="s">
        <v>520</v>
      </c>
      <c r="X111" s="95" t="s">
        <v>779</v>
      </c>
      <c r="Y111" s="95" t="s">
        <v>796</v>
      </c>
      <c r="Z111" s="95" t="s">
        <v>797</v>
      </c>
    </row>
    <row r="112" spans="1:26" x14ac:dyDescent="0.2">
      <c r="A112" s="502" t="s">
        <v>144</v>
      </c>
      <c r="B112" s="469">
        <f>_xlfn.XLOOKUP($A112,'Physical Condition Assessment'!$U:$U,'Physical Condition Assessment'!$E:$E,"!!!!!",0)</f>
        <v>0</v>
      </c>
      <c r="C112" s="469">
        <f>_xlfn.XLOOKUP($A112,'Physical Condition Assessment'!$U:$U,'Physical Condition Assessment'!$F:$F,"!!!!!",0)</f>
        <v>0</v>
      </c>
      <c r="D112" s="469">
        <f>_xlfn.XLOOKUP($A112,'Physical Condition Assessment'!$U:$U,'Physical Condition Assessment'!$H:$H,"!!!!!",0)</f>
        <v>0</v>
      </c>
      <c r="E112" s="469">
        <f>_xlfn.XLOOKUP($A112,'Physical Condition Assessment'!$U:$U,'Physical Condition Assessment'!$J:$J,"!!!!!",0)</f>
        <v>0</v>
      </c>
      <c r="F112" s="469">
        <f>_xlfn.XLOOKUP($A112,'Physical Condition Assessment'!$U:$U,'Physical Condition Assessment'!$L:$L,"!!!!!",0)</f>
        <v>0</v>
      </c>
      <c r="G112" s="469">
        <f>_xlfn.XLOOKUP($A112,'Physical Condition Assessment'!$U:$U,'Physical Condition Assessment'!$N:$N,"!!!!!",0)</f>
        <v>0</v>
      </c>
      <c r="H112" s="469">
        <f>_xlfn.XLOOKUP($A112,'Physical Condition Assessment'!$U:$U,'Physical Condition Assessment'!$P:$P,"!!!!!",0)</f>
        <v>0</v>
      </c>
      <c r="I112" s="525">
        <f>_xlfn.XLOOKUP($A112,'Physical Condition Assessment'!$U:$U,'Physical Condition Assessment'!$R:$R,"!!!!!",0)</f>
        <v>0</v>
      </c>
      <c r="J112" s="471">
        <f>_xlfn.XLOOKUP($A112,'Physical Condition Assessment'!$U:$U,'Physical Condition Assessment'!$S:$S,"!!!!!",0)</f>
        <v>0</v>
      </c>
      <c r="K112" s="469">
        <f>_xlfn.XLOOKUP($A112,'Physical Condition Assessment'!$U:$U,'Physical Condition Assessment'!$T:$T,"!!!!!",0)</f>
        <v>0</v>
      </c>
      <c r="L112" s="502" t="str">
        <f>_xlfn.XLOOKUP($A112,'Physical Condition Assessment'!$U:$U,'Physical Condition Assessment'!$V:$V,"missing",0)</f>
        <v>Roofing</v>
      </c>
      <c r="M112" s="469" t="str">
        <f>_xlfn.XLOOKUP($A112,'Physical Condition Assessment'!$U:$U,'Physical Condition Assessment'!$AE:$AE,"!!!!!",0)</f>
        <v>SF</v>
      </c>
      <c r="N112" s="471">
        <f>_xlfn.XLOOKUP($A112,'Physical Condition Assessment'!$U:$U,'Physical Condition Assessment'!$AP:$AP,"!!!!!",0)</f>
        <v>0</v>
      </c>
      <c r="O112" s="526">
        <f t="shared" si="4"/>
        <v>0</v>
      </c>
      <c r="P112" s="502" t="str">
        <f t="shared" si="5"/>
        <v>Green</v>
      </c>
      <c r="R112" s="502" t="str">
        <f t="shared" si="6"/>
        <v/>
      </c>
      <c r="S112" s="502" t="str">
        <f t="shared" si="7"/>
        <v/>
      </c>
      <c r="T112" s="95" t="s">
        <v>776</v>
      </c>
      <c r="U112" s="95" t="s">
        <v>798</v>
      </c>
      <c r="V112" s="95" t="s">
        <v>799</v>
      </c>
      <c r="W112" s="95" t="s">
        <v>520</v>
      </c>
      <c r="X112" s="95" t="s">
        <v>779</v>
      </c>
      <c r="Y112" s="95" t="s">
        <v>800</v>
      </c>
      <c r="Z112" s="95" t="s">
        <v>529</v>
      </c>
    </row>
    <row r="113" spans="1:30" x14ac:dyDescent="0.2">
      <c r="A113" s="502" t="s">
        <v>157</v>
      </c>
      <c r="B113" s="469">
        <f>_xlfn.XLOOKUP($A113,'Physical Condition Assessment'!$U:$U,'Physical Condition Assessment'!$E:$E,"!!!!!",0)</f>
        <v>0</v>
      </c>
      <c r="C113" s="469">
        <f>_xlfn.XLOOKUP($A113,'Physical Condition Assessment'!$U:$U,'Physical Condition Assessment'!$F:$F,"!!!!!",0)</f>
        <v>0</v>
      </c>
      <c r="D113" s="469">
        <f>_xlfn.XLOOKUP($A113,'Physical Condition Assessment'!$U:$U,'Physical Condition Assessment'!$H:$H,"!!!!!",0)</f>
        <v>0</v>
      </c>
      <c r="E113" s="469">
        <f>_xlfn.XLOOKUP($A113,'Physical Condition Assessment'!$U:$U,'Physical Condition Assessment'!$J:$J,"!!!!!",0)</f>
        <v>0</v>
      </c>
      <c r="F113" s="469">
        <f>_xlfn.XLOOKUP($A113,'Physical Condition Assessment'!$U:$U,'Physical Condition Assessment'!$L:$L,"!!!!!",0)</f>
        <v>0</v>
      </c>
      <c r="G113" s="469">
        <f>_xlfn.XLOOKUP($A113,'Physical Condition Assessment'!$U:$U,'Physical Condition Assessment'!$N:$N,"!!!!!",0)</f>
        <v>0</v>
      </c>
      <c r="H113" s="469">
        <f>_xlfn.XLOOKUP($A113,'Physical Condition Assessment'!$U:$U,'Physical Condition Assessment'!$P:$P,"!!!!!",0)</f>
        <v>0</v>
      </c>
      <c r="I113" s="525">
        <f>_xlfn.XLOOKUP($A113,'Physical Condition Assessment'!$U:$U,'Physical Condition Assessment'!$R:$R,"!!!!!",0)</f>
        <v>0</v>
      </c>
      <c r="J113" s="471">
        <f>_xlfn.XLOOKUP($A113,'Physical Condition Assessment'!$U:$U,'Physical Condition Assessment'!$S:$S,"!!!!!",0)</f>
        <v>0</v>
      </c>
      <c r="K113" s="469">
        <f>_xlfn.XLOOKUP($A113,'Physical Condition Assessment'!$U:$U,'Physical Condition Assessment'!$T:$T,"!!!!!",0)</f>
        <v>0</v>
      </c>
      <c r="L113" s="502" t="str">
        <f>_xlfn.XLOOKUP($A113,'Physical Condition Assessment'!$U:$U,'Physical Condition Assessment'!$V:$V,"missing",0)</f>
        <v>Roofing</v>
      </c>
      <c r="M113" s="469" t="str">
        <f>_xlfn.XLOOKUP($A113,'Physical Condition Assessment'!$U:$U,'Physical Condition Assessment'!$AE:$AE,"!!!!!",0)</f>
        <v>Unit</v>
      </c>
      <c r="N113" s="471">
        <f>_xlfn.XLOOKUP($A113,'Physical Condition Assessment'!$U:$U,'Physical Condition Assessment'!$AP:$AP,"!!!!!",0)</f>
        <v>0</v>
      </c>
      <c r="O113" s="526">
        <f t="shared" si="4"/>
        <v>0</v>
      </c>
      <c r="P113" s="502" t="str">
        <f t="shared" si="5"/>
        <v>Green</v>
      </c>
      <c r="R113" s="502" t="str">
        <f t="shared" si="6"/>
        <v/>
      </c>
      <c r="S113" s="502" t="str">
        <f t="shared" si="7"/>
        <v/>
      </c>
      <c r="T113" s="95" t="s">
        <v>801</v>
      </c>
      <c r="U113" s="95" t="s">
        <v>802</v>
      </c>
      <c r="V113" s="95" t="s">
        <v>803</v>
      </c>
      <c r="W113" s="95" t="s">
        <v>520</v>
      </c>
      <c r="X113" s="95" t="s">
        <v>804</v>
      </c>
      <c r="Y113" s="95" t="s">
        <v>805</v>
      </c>
      <c r="Z113" s="95" t="s">
        <v>806</v>
      </c>
    </row>
    <row r="114" spans="1:30" x14ac:dyDescent="0.2">
      <c r="A114" s="502" t="s">
        <v>155</v>
      </c>
      <c r="B114" s="469">
        <f>_xlfn.XLOOKUP($A114,'Physical Condition Assessment'!$U:$U,'Physical Condition Assessment'!$E:$E,"!!!!!",0)</f>
        <v>0</v>
      </c>
      <c r="C114" s="469">
        <f>_xlfn.XLOOKUP($A114,'Physical Condition Assessment'!$U:$U,'Physical Condition Assessment'!$F:$F,"!!!!!",0)</f>
        <v>0</v>
      </c>
      <c r="D114" s="469">
        <f>_xlfn.XLOOKUP($A114,'Physical Condition Assessment'!$U:$U,'Physical Condition Assessment'!$H:$H,"!!!!!",0)</f>
        <v>0</v>
      </c>
      <c r="E114" s="469">
        <f>_xlfn.XLOOKUP($A114,'Physical Condition Assessment'!$U:$U,'Physical Condition Assessment'!$J:$J,"!!!!!",0)</f>
        <v>0</v>
      </c>
      <c r="F114" s="469">
        <f>_xlfn.XLOOKUP($A114,'Physical Condition Assessment'!$U:$U,'Physical Condition Assessment'!$L:$L,"!!!!!",0)</f>
        <v>0</v>
      </c>
      <c r="G114" s="469">
        <f>_xlfn.XLOOKUP($A114,'Physical Condition Assessment'!$U:$U,'Physical Condition Assessment'!$N:$N,"!!!!!",0)</f>
        <v>0</v>
      </c>
      <c r="H114" s="469">
        <f>_xlfn.XLOOKUP($A114,'Physical Condition Assessment'!$U:$U,'Physical Condition Assessment'!$P:$P,"!!!!!",0)</f>
        <v>0</v>
      </c>
      <c r="I114" s="525">
        <f>_xlfn.XLOOKUP($A114,'Physical Condition Assessment'!$U:$U,'Physical Condition Assessment'!$R:$R,"!!!!!",0)</f>
        <v>0</v>
      </c>
      <c r="J114" s="471">
        <f>_xlfn.XLOOKUP($A114,'Physical Condition Assessment'!$U:$U,'Physical Condition Assessment'!$S:$S,"!!!!!",0)</f>
        <v>0</v>
      </c>
      <c r="K114" s="469">
        <f>_xlfn.XLOOKUP($A114,'Physical Condition Assessment'!$U:$U,'Physical Condition Assessment'!$T:$T,"!!!!!",0)</f>
        <v>0</v>
      </c>
      <c r="L114" s="502" t="str">
        <f>_xlfn.XLOOKUP($A114,'Physical Condition Assessment'!$U:$U,'Physical Condition Assessment'!$V:$V,"missing",0)</f>
        <v>Roofing</v>
      </c>
      <c r="M114" s="469" t="str">
        <f>_xlfn.XLOOKUP($A114,'Physical Condition Assessment'!$U:$U,'Physical Condition Assessment'!$AE:$AE,"!!!!!",0)</f>
        <v>SF</v>
      </c>
      <c r="N114" s="471">
        <f>_xlfn.XLOOKUP($A114,'Physical Condition Assessment'!$U:$U,'Physical Condition Assessment'!$AP:$AP,"!!!!!",0)</f>
        <v>0</v>
      </c>
      <c r="O114" s="526">
        <f t="shared" si="4"/>
        <v>0</v>
      </c>
      <c r="P114" s="502" t="str">
        <f t="shared" si="5"/>
        <v>Green</v>
      </c>
      <c r="R114" s="502" t="str">
        <f t="shared" si="6"/>
        <v/>
      </c>
      <c r="S114" s="502" t="str">
        <f t="shared" si="7"/>
        <v/>
      </c>
      <c r="T114" s="95" t="s">
        <v>801</v>
      </c>
      <c r="U114" s="95" t="s">
        <v>807</v>
      </c>
      <c r="V114" s="95" t="s">
        <v>808</v>
      </c>
      <c r="W114" s="95" t="s">
        <v>520</v>
      </c>
      <c r="X114" s="95" t="s">
        <v>804</v>
      </c>
      <c r="Y114" s="95" t="s">
        <v>154</v>
      </c>
    </row>
    <row r="115" spans="1:30" x14ac:dyDescent="0.2">
      <c r="A115" s="502" t="s">
        <v>297</v>
      </c>
      <c r="B115" s="469">
        <f>_xlfn.XLOOKUP($A115,'Physical Condition Assessment'!$U:$U,'Physical Condition Assessment'!$E:$E,"!!!!!",0)</f>
        <v>0</v>
      </c>
      <c r="C115" s="469">
        <f>_xlfn.XLOOKUP($A115,'Physical Condition Assessment'!$U:$U,'Physical Condition Assessment'!$F:$F,"!!!!!",0)</f>
        <v>0</v>
      </c>
      <c r="D115" s="469">
        <f>_xlfn.XLOOKUP($A115,'Physical Condition Assessment'!$U:$U,'Physical Condition Assessment'!$H:$H,"!!!!!",0)</f>
        <v>0</v>
      </c>
      <c r="E115" s="469">
        <f>_xlfn.XLOOKUP($A115,'Physical Condition Assessment'!$U:$U,'Physical Condition Assessment'!$J:$J,"!!!!!",0)</f>
        <v>0</v>
      </c>
      <c r="F115" s="469">
        <f>_xlfn.XLOOKUP($A115,'Physical Condition Assessment'!$U:$U,'Physical Condition Assessment'!$L:$L,"!!!!!",0)</f>
        <v>0</v>
      </c>
      <c r="G115" s="469">
        <f>_xlfn.XLOOKUP($A115,'Physical Condition Assessment'!$U:$U,'Physical Condition Assessment'!$N:$N,"!!!!!",0)</f>
        <v>0</v>
      </c>
      <c r="H115" s="469">
        <f>_xlfn.XLOOKUP($A115,'Physical Condition Assessment'!$U:$U,'Physical Condition Assessment'!$P:$P,"!!!!!",0)</f>
        <v>0</v>
      </c>
      <c r="I115" s="525">
        <f>_xlfn.XLOOKUP($A115,'Physical Condition Assessment'!$U:$U,'Physical Condition Assessment'!$R:$R,"!!!!!",0)</f>
        <v>0</v>
      </c>
      <c r="J115" s="471">
        <f>_xlfn.XLOOKUP($A115,'Physical Condition Assessment'!$U:$U,'Physical Condition Assessment'!$S:$S,"!!!!!",0)</f>
        <v>0</v>
      </c>
      <c r="K115" s="469">
        <f>_xlfn.XLOOKUP($A115,'Physical Condition Assessment'!$U:$U,'Physical Condition Assessment'!$T:$T,"!!!!!",0)</f>
        <v>0</v>
      </c>
      <c r="L115" s="502" t="str">
        <f>_xlfn.XLOOKUP($A115,'Physical Condition Assessment'!$U:$U,'Physical Condition Assessment'!$V:$V,"missing",0)</f>
        <v>Safety/Security</v>
      </c>
      <c r="M115" s="469" t="str">
        <f>_xlfn.XLOOKUP($A115,'Physical Condition Assessment'!$U:$U,'Physical Condition Assessment'!$AE:$AE,"!!!!!",0)</f>
        <v>SF</v>
      </c>
      <c r="N115" s="471">
        <f>_xlfn.XLOOKUP($A115,'Physical Condition Assessment'!$U:$U,'Physical Condition Assessment'!$AP:$AP,"!!!!!",0)</f>
        <v>0</v>
      </c>
      <c r="O115" s="526">
        <f t="shared" si="4"/>
        <v>0</v>
      </c>
      <c r="P115" s="502" t="str">
        <f t="shared" si="5"/>
        <v>Green</v>
      </c>
      <c r="R115" s="502" t="str">
        <f t="shared" si="6"/>
        <v/>
      </c>
      <c r="S115" s="502" t="str">
        <f t="shared" si="7"/>
        <v/>
      </c>
      <c r="T115" s="95" t="s">
        <v>809</v>
      </c>
      <c r="U115" s="95" t="s">
        <v>810</v>
      </c>
      <c r="V115" s="95" t="s">
        <v>811</v>
      </c>
      <c r="W115" s="95" t="s">
        <v>365</v>
      </c>
      <c r="X115" s="95" t="s">
        <v>812</v>
      </c>
    </row>
    <row r="116" spans="1:30" x14ac:dyDescent="0.2">
      <c r="A116" s="502" t="s">
        <v>313</v>
      </c>
      <c r="B116" s="469">
        <f>_xlfn.XLOOKUP($A116,'Physical Condition Assessment'!$U:$U,'Physical Condition Assessment'!$E:$E,"!!!!!",0)</f>
        <v>0</v>
      </c>
      <c r="C116" s="469">
        <f>_xlfn.XLOOKUP($A116,'Physical Condition Assessment'!$U:$U,'Physical Condition Assessment'!$F:$F,"!!!!!",0)</f>
        <v>0</v>
      </c>
      <c r="D116" s="469">
        <f>_xlfn.XLOOKUP($A116,'Physical Condition Assessment'!$U:$U,'Physical Condition Assessment'!$H:$H,"!!!!!",0)</f>
        <v>0</v>
      </c>
      <c r="E116" s="469">
        <f>_xlfn.XLOOKUP($A116,'Physical Condition Assessment'!$U:$U,'Physical Condition Assessment'!$J:$J,"!!!!!",0)</f>
        <v>0</v>
      </c>
      <c r="F116" s="469">
        <f>_xlfn.XLOOKUP($A116,'Physical Condition Assessment'!$U:$U,'Physical Condition Assessment'!$L:$L,"!!!!!",0)</f>
        <v>0</v>
      </c>
      <c r="G116" s="469">
        <f>_xlfn.XLOOKUP($A116,'Physical Condition Assessment'!$U:$U,'Physical Condition Assessment'!$N:$N,"!!!!!",0)</f>
        <v>0</v>
      </c>
      <c r="H116" s="469">
        <f>_xlfn.XLOOKUP($A116,'Physical Condition Assessment'!$U:$U,'Physical Condition Assessment'!$P:$P,"!!!!!",0)</f>
        <v>0</v>
      </c>
      <c r="I116" s="525">
        <f>_xlfn.XLOOKUP($A116,'Physical Condition Assessment'!$U:$U,'Physical Condition Assessment'!$R:$R,"!!!!!",0)</f>
        <v>0</v>
      </c>
      <c r="J116" s="471">
        <f>_xlfn.XLOOKUP($A116,'Physical Condition Assessment'!$U:$U,'Physical Condition Assessment'!$S:$S,"!!!!!",0)</f>
        <v>0</v>
      </c>
      <c r="K116" s="469">
        <f>_xlfn.XLOOKUP($A116,'Physical Condition Assessment'!$U:$U,'Physical Condition Assessment'!$T:$T,"!!!!!",0)</f>
        <v>0</v>
      </c>
      <c r="L116" s="502" t="str">
        <f>_xlfn.XLOOKUP($A116,'Physical Condition Assessment'!$U:$U,'Physical Condition Assessment'!$V:$V,"missing",0)</f>
        <v>Electrical</v>
      </c>
      <c r="M116" s="469" t="str">
        <f>_xlfn.XLOOKUP($A116,'Physical Condition Assessment'!$U:$U,'Physical Condition Assessment'!$AE:$AE,"!!!!!",0)</f>
        <v>SF</v>
      </c>
      <c r="N116" s="471">
        <f>_xlfn.XLOOKUP($A116,'Physical Condition Assessment'!$U:$U,'Physical Condition Assessment'!$AP:$AP,"!!!!!",0)</f>
        <v>0</v>
      </c>
      <c r="O116" s="526">
        <f t="shared" si="4"/>
        <v>0</v>
      </c>
      <c r="P116" s="502" t="str">
        <f t="shared" si="5"/>
        <v>Green</v>
      </c>
      <c r="R116" s="502" t="str">
        <f t="shared" si="6"/>
        <v/>
      </c>
      <c r="S116" s="502" t="str">
        <f t="shared" si="7"/>
        <v/>
      </c>
      <c r="T116" s="95" t="s">
        <v>813</v>
      </c>
      <c r="U116" s="95" t="s">
        <v>814</v>
      </c>
      <c r="V116" s="95" t="s">
        <v>815</v>
      </c>
      <c r="W116" s="95" t="s">
        <v>816</v>
      </c>
      <c r="Z116" s="95" t="s">
        <v>312</v>
      </c>
      <c r="AD116" s="502" t="s">
        <v>817</v>
      </c>
    </row>
    <row r="117" spans="1:30" x14ac:dyDescent="0.2">
      <c r="A117" s="502" t="s">
        <v>309</v>
      </c>
      <c r="B117" s="469">
        <f>_xlfn.XLOOKUP($A117,'Physical Condition Assessment'!$U:$U,'Physical Condition Assessment'!$E:$E,"!!!!!",0)</f>
        <v>0</v>
      </c>
      <c r="C117" s="469">
        <f>_xlfn.XLOOKUP($A117,'Physical Condition Assessment'!$U:$U,'Physical Condition Assessment'!$F:$F,"!!!!!",0)</f>
        <v>0</v>
      </c>
      <c r="D117" s="469">
        <f>_xlfn.XLOOKUP($A117,'Physical Condition Assessment'!$U:$U,'Physical Condition Assessment'!$H:$H,"!!!!!",0)</f>
        <v>0</v>
      </c>
      <c r="E117" s="469">
        <f>_xlfn.XLOOKUP($A117,'Physical Condition Assessment'!$U:$U,'Physical Condition Assessment'!$J:$J,"!!!!!",0)</f>
        <v>0</v>
      </c>
      <c r="F117" s="469">
        <f>_xlfn.XLOOKUP($A117,'Physical Condition Assessment'!$U:$U,'Physical Condition Assessment'!$L:$L,"!!!!!",0)</f>
        <v>0</v>
      </c>
      <c r="G117" s="469">
        <f>_xlfn.XLOOKUP($A117,'Physical Condition Assessment'!$U:$U,'Physical Condition Assessment'!$N:$N,"!!!!!",0)</f>
        <v>0</v>
      </c>
      <c r="H117" s="469">
        <f>_xlfn.XLOOKUP($A117,'Physical Condition Assessment'!$U:$U,'Physical Condition Assessment'!$P:$P,"!!!!!",0)</f>
        <v>0</v>
      </c>
      <c r="I117" s="525">
        <f>_xlfn.XLOOKUP($A117,'Physical Condition Assessment'!$U:$U,'Physical Condition Assessment'!$R:$R,"!!!!!",0)</f>
        <v>0</v>
      </c>
      <c r="J117" s="471">
        <f>_xlfn.XLOOKUP($A117,'Physical Condition Assessment'!$U:$U,'Physical Condition Assessment'!$S:$S,"!!!!!",0)</f>
        <v>0</v>
      </c>
      <c r="K117" s="469">
        <f>_xlfn.XLOOKUP($A117,'Physical Condition Assessment'!$U:$U,'Physical Condition Assessment'!$T:$T,"!!!!!",0)</f>
        <v>0</v>
      </c>
      <c r="L117" s="502" t="str">
        <f>_xlfn.XLOOKUP($A117,'Physical Condition Assessment'!$U:$U,'Physical Condition Assessment'!$V:$V,"missing",0)</f>
        <v>Electrical</v>
      </c>
      <c r="M117" s="469" t="str">
        <f>_xlfn.XLOOKUP($A117,'Physical Condition Assessment'!$U:$U,'Physical Condition Assessment'!$AE:$AE,"!!!!!",0)</f>
        <v>SF</v>
      </c>
      <c r="N117" s="471">
        <f>_xlfn.XLOOKUP($A117,'Physical Condition Assessment'!$U:$U,'Physical Condition Assessment'!$AP:$AP,"!!!!!",0)</f>
        <v>0</v>
      </c>
      <c r="O117" s="526">
        <f t="shared" si="4"/>
        <v>0</v>
      </c>
      <c r="P117" s="502" t="str">
        <f t="shared" si="5"/>
        <v>Green</v>
      </c>
      <c r="R117" s="502" t="str">
        <f t="shared" si="6"/>
        <v/>
      </c>
      <c r="S117" s="502" t="str">
        <f t="shared" si="7"/>
        <v/>
      </c>
      <c r="T117" s="95" t="s">
        <v>813</v>
      </c>
      <c r="U117" s="95" t="s">
        <v>818</v>
      </c>
      <c r="V117" s="95" t="s">
        <v>819</v>
      </c>
      <c r="W117" s="95" t="s">
        <v>816</v>
      </c>
      <c r="Z117" s="95" t="s">
        <v>308</v>
      </c>
      <c r="AD117" s="502" t="s">
        <v>820</v>
      </c>
    </row>
    <row r="118" spans="1:30" x14ac:dyDescent="0.2">
      <c r="A118" s="502" t="s">
        <v>311</v>
      </c>
      <c r="B118" s="469">
        <f>_xlfn.XLOOKUP($A118,'Physical Condition Assessment'!$U:$U,'Physical Condition Assessment'!$E:$E,"!!!!!",0)</f>
        <v>0</v>
      </c>
      <c r="C118" s="469">
        <f>_xlfn.XLOOKUP($A118,'Physical Condition Assessment'!$U:$U,'Physical Condition Assessment'!$F:$F,"!!!!!",0)</f>
        <v>0</v>
      </c>
      <c r="D118" s="469">
        <f>_xlfn.XLOOKUP($A118,'Physical Condition Assessment'!$U:$U,'Physical Condition Assessment'!$H:$H,"!!!!!",0)</f>
        <v>0</v>
      </c>
      <c r="E118" s="469">
        <f>_xlfn.XLOOKUP($A118,'Physical Condition Assessment'!$U:$U,'Physical Condition Assessment'!$J:$J,"!!!!!",0)</f>
        <v>0</v>
      </c>
      <c r="F118" s="469">
        <f>_xlfn.XLOOKUP($A118,'Physical Condition Assessment'!$U:$U,'Physical Condition Assessment'!$L:$L,"!!!!!",0)</f>
        <v>0</v>
      </c>
      <c r="G118" s="469">
        <f>_xlfn.XLOOKUP($A118,'Physical Condition Assessment'!$U:$U,'Physical Condition Assessment'!$N:$N,"!!!!!",0)</f>
        <v>0</v>
      </c>
      <c r="H118" s="469">
        <f>_xlfn.XLOOKUP($A118,'Physical Condition Assessment'!$U:$U,'Physical Condition Assessment'!$P:$P,"!!!!!",0)</f>
        <v>0</v>
      </c>
      <c r="I118" s="525">
        <f>_xlfn.XLOOKUP($A118,'Physical Condition Assessment'!$U:$U,'Physical Condition Assessment'!$R:$R,"!!!!!",0)</f>
        <v>0</v>
      </c>
      <c r="J118" s="471">
        <f>_xlfn.XLOOKUP($A118,'Physical Condition Assessment'!$U:$U,'Physical Condition Assessment'!$S:$S,"!!!!!",0)</f>
        <v>0</v>
      </c>
      <c r="K118" s="469">
        <f>_xlfn.XLOOKUP($A118,'Physical Condition Assessment'!$U:$U,'Physical Condition Assessment'!$T:$T,"!!!!!",0)</f>
        <v>0</v>
      </c>
      <c r="L118" s="502" t="str">
        <f>_xlfn.XLOOKUP($A118,'Physical Condition Assessment'!$U:$U,'Physical Condition Assessment'!$V:$V,"missing",0)</f>
        <v>Electrical</v>
      </c>
      <c r="M118" s="469" t="str">
        <f>_xlfn.XLOOKUP($A118,'Physical Condition Assessment'!$U:$U,'Physical Condition Assessment'!$AE:$AE,"!!!!!",0)</f>
        <v>SF</v>
      </c>
      <c r="N118" s="471">
        <f>_xlfn.XLOOKUP($A118,'Physical Condition Assessment'!$U:$U,'Physical Condition Assessment'!$AP:$AP,"!!!!!",0)</f>
        <v>0</v>
      </c>
      <c r="O118" s="526">
        <f t="shared" si="4"/>
        <v>0</v>
      </c>
      <c r="P118" s="502" t="str">
        <f t="shared" si="5"/>
        <v>Green</v>
      </c>
      <c r="R118" s="502" t="str">
        <f t="shared" si="6"/>
        <v/>
      </c>
      <c r="S118" s="502" t="str">
        <f t="shared" si="7"/>
        <v/>
      </c>
      <c r="T118" s="95" t="s">
        <v>813</v>
      </c>
      <c r="U118" s="95" t="s">
        <v>821</v>
      </c>
      <c r="V118" s="95" t="s">
        <v>822</v>
      </c>
      <c r="W118" s="95" t="s">
        <v>816</v>
      </c>
      <c r="Z118" s="95" t="s">
        <v>310</v>
      </c>
      <c r="AD118" s="502" t="s">
        <v>823</v>
      </c>
    </row>
    <row r="119" spans="1:30" x14ac:dyDescent="0.2">
      <c r="A119" s="502" t="s">
        <v>317</v>
      </c>
      <c r="B119" s="469">
        <f>_xlfn.XLOOKUP($A119,'Physical Condition Assessment'!$U:$U,'Physical Condition Assessment'!$E:$E,"!!!!!",0)</f>
        <v>0</v>
      </c>
      <c r="C119" s="469">
        <f>_xlfn.XLOOKUP($A119,'Physical Condition Assessment'!$U:$U,'Physical Condition Assessment'!$F:$F,"!!!!!",0)</f>
        <v>0</v>
      </c>
      <c r="D119" s="469">
        <f>_xlfn.XLOOKUP($A119,'Physical Condition Assessment'!$U:$U,'Physical Condition Assessment'!$H:$H,"!!!!!",0)</f>
        <v>0</v>
      </c>
      <c r="E119" s="469">
        <f>_xlfn.XLOOKUP($A119,'Physical Condition Assessment'!$U:$U,'Physical Condition Assessment'!$J:$J,"!!!!!",0)</f>
        <v>0</v>
      </c>
      <c r="F119" s="469">
        <f>_xlfn.XLOOKUP($A119,'Physical Condition Assessment'!$U:$U,'Physical Condition Assessment'!$L:$L,"!!!!!",0)</f>
        <v>0</v>
      </c>
      <c r="G119" s="469">
        <f>_xlfn.XLOOKUP($A119,'Physical Condition Assessment'!$U:$U,'Physical Condition Assessment'!$N:$N,"!!!!!",0)</f>
        <v>0</v>
      </c>
      <c r="H119" s="469">
        <f>_xlfn.XLOOKUP($A119,'Physical Condition Assessment'!$U:$U,'Physical Condition Assessment'!$P:$P,"!!!!!",0)</f>
        <v>0</v>
      </c>
      <c r="I119" s="525">
        <f>_xlfn.XLOOKUP($A119,'Physical Condition Assessment'!$U:$U,'Physical Condition Assessment'!$R:$R,"!!!!!",0)</f>
        <v>0</v>
      </c>
      <c r="J119" s="471">
        <f>_xlfn.XLOOKUP($A119,'Physical Condition Assessment'!$U:$U,'Physical Condition Assessment'!$S:$S,"!!!!!",0)</f>
        <v>0</v>
      </c>
      <c r="K119" s="469">
        <f>_xlfn.XLOOKUP($A119,'Physical Condition Assessment'!$U:$U,'Physical Condition Assessment'!$T:$T,"!!!!!",0)</f>
        <v>0</v>
      </c>
      <c r="L119" s="502" t="str">
        <f>_xlfn.XLOOKUP($A119,'Physical Condition Assessment'!$U:$U,'Physical Condition Assessment'!$V:$V,"missing",0)</f>
        <v>Safety/Security</v>
      </c>
      <c r="M119" s="469" t="str">
        <f>_xlfn.XLOOKUP($A119,'Physical Condition Assessment'!$U:$U,'Physical Condition Assessment'!$AE:$AE,"!!!!!",0)</f>
        <v>SF</v>
      </c>
      <c r="N119" s="471">
        <f>_xlfn.XLOOKUP($A119,'Physical Condition Assessment'!$U:$U,'Physical Condition Assessment'!$AP:$AP,"!!!!!",0)</f>
        <v>0</v>
      </c>
      <c r="O119" s="526">
        <f t="shared" si="4"/>
        <v>0</v>
      </c>
      <c r="P119" s="502" t="str">
        <f t="shared" si="5"/>
        <v>Green</v>
      </c>
      <c r="R119" s="502" t="str">
        <f t="shared" si="6"/>
        <v/>
      </c>
      <c r="S119" s="502" t="str">
        <f t="shared" si="7"/>
        <v/>
      </c>
      <c r="T119" s="95" t="s">
        <v>813</v>
      </c>
      <c r="U119" s="95" t="s">
        <v>824</v>
      </c>
      <c r="V119" s="95" t="s">
        <v>825</v>
      </c>
      <c r="W119" s="95" t="s">
        <v>816</v>
      </c>
      <c r="Z119" s="95" t="s">
        <v>316</v>
      </c>
      <c r="AD119" s="502" t="s">
        <v>826</v>
      </c>
    </row>
    <row r="120" spans="1:30" x14ac:dyDescent="0.2">
      <c r="A120" s="502" t="s">
        <v>315</v>
      </c>
      <c r="B120" s="469">
        <f>_xlfn.XLOOKUP($A120,'Physical Condition Assessment'!$U:$U,'Physical Condition Assessment'!$E:$E,"!!!!!",0)</f>
        <v>0</v>
      </c>
      <c r="C120" s="469">
        <f>_xlfn.XLOOKUP($A120,'Physical Condition Assessment'!$U:$U,'Physical Condition Assessment'!$F:$F,"!!!!!",0)</f>
        <v>0</v>
      </c>
      <c r="D120" s="469">
        <f>_xlfn.XLOOKUP($A120,'Physical Condition Assessment'!$U:$U,'Physical Condition Assessment'!$H:$H,"!!!!!",0)</f>
        <v>0</v>
      </c>
      <c r="E120" s="469">
        <f>_xlfn.XLOOKUP($A120,'Physical Condition Assessment'!$U:$U,'Physical Condition Assessment'!$J:$J,"!!!!!",0)</f>
        <v>0</v>
      </c>
      <c r="F120" s="469">
        <f>_xlfn.XLOOKUP($A120,'Physical Condition Assessment'!$U:$U,'Physical Condition Assessment'!$L:$L,"!!!!!",0)</f>
        <v>0</v>
      </c>
      <c r="G120" s="469">
        <f>_xlfn.XLOOKUP($A120,'Physical Condition Assessment'!$U:$U,'Physical Condition Assessment'!$N:$N,"!!!!!",0)</f>
        <v>0</v>
      </c>
      <c r="H120" s="469">
        <f>_xlfn.XLOOKUP($A120,'Physical Condition Assessment'!$U:$U,'Physical Condition Assessment'!$P:$P,"!!!!!",0)</f>
        <v>0</v>
      </c>
      <c r="I120" s="525">
        <f>_xlfn.XLOOKUP($A120,'Physical Condition Assessment'!$U:$U,'Physical Condition Assessment'!$R:$R,"!!!!!",0)</f>
        <v>0</v>
      </c>
      <c r="J120" s="471">
        <f>_xlfn.XLOOKUP($A120,'Physical Condition Assessment'!$U:$U,'Physical Condition Assessment'!$S:$S,"!!!!!",0)</f>
        <v>0</v>
      </c>
      <c r="K120" s="469">
        <f>_xlfn.XLOOKUP($A120,'Physical Condition Assessment'!$U:$U,'Physical Condition Assessment'!$T:$T,"!!!!!",0)</f>
        <v>0</v>
      </c>
      <c r="L120" s="502" t="str">
        <f>_xlfn.XLOOKUP($A120,'Physical Condition Assessment'!$U:$U,'Physical Condition Assessment'!$V:$V,"missing",0)</f>
        <v>Electrical</v>
      </c>
      <c r="M120" s="469" t="str">
        <f>_xlfn.XLOOKUP($A120,'Physical Condition Assessment'!$U:$U,'Physical Condition Assessment'!$AE:$AE,"!!!!!",0)</f>
        <v>SF</v>
      </c>
      <c r="N120" s="471">
        <f>_xlfn.XLOOKUP($A120,'Physical Condition Assessment'!$U:$U,'Physical Condition Assessment'!$AP:$AP,"!!!!!",0)</f>
        <v>0</v>
      </c>
      <c r="O120" s="526">
        <f t="shared" si="4"/>
        <v>0</v>
      </c>
      <c r="P120" s="502" t="str">
        <f t="shared" si="5"/>
        <v>Green</v>
      </c>
      <c r="R120" s="502" t="str">
        <f t="shared" si="6"/>
        <v/>
      </c>
      <c r="S120" s="502" t="str">
        <f t="shared" si="7"/>
        <v/>
      </c>
      <c r="T120" s="95" t="s">
        <v>813</v>
      </c>
      <c r="U120" s="95" t="s">
        <v>827</v>
      </c>
      <c r="V120" s="95" t="s">
        <v>828</v>
      </c>
      <c r="W120" s="95" t="s">
        <v>816</v>
      </c>
      <c r="Z120" s="95" t="s">
        <v>314</v>
      </c>
      <c r="AD120" s="502" t="s">
        <v>829</v>
      </c>
    </row>
    <row r="121" spans="1:30" x14ac:dyDescent="0.2">
      <c r="A121" s="502" t="s">
        <v>319</v>
      </c>
      <c r="B121" s="469">
        <f>_xlfn.XLOOKUP($A121,'Physical Condition Assessment'!$U:$U,'Physical Condition Assessment'!$E:$E,"!!!!!",0)</f>
        <v>0</v>
      </c>
      <c r="C121" s="469">
        <f>_xlfn.XLOOKUP($A121,'Physical Condition Assessment'!$U:$U,'Physical Condition Assessment'!$F:$F,"!!!!!",0)</f>
        <v>0</v>
      </c>
      <c r="D121" s="469">
        <f>_xlfn.XLOOKUP($A121,'Physical Condition Assessment'!$U:$U,'Physical Condition Assessment'!$H:$H,"!!!!!",0)</f>
        <v>0</v>
      </c>
      <c r="E121" s="469">
        <f>_xlfn.XLOOKUP($A121,'Physical Condition Assessment'!$U:$U,'Physical Condition Assessment'!$J:$J,"!!!!!",0)</f>
        <v>0</v>
      </c>
      <c r="F121" s="469">
        <f>_xlfn.XLOOKUP($A121,'Physical Condition Assessment'!$U:$U,'Physical Condition Assessment'!$L:$L,"!!!!!",0)</f>
        <v>0</v>
      </c>
      <c r="G121" s="469">
        <f>_xlfn.XLOOKUP($A121,'Physical Condition Assessment'!$U:$U,'Physical Condition Assessment'!$N:$N,"!!!!!",0)</f>
        <v>0</v>
      </c>
      <c r="H121" s="469">
        <f>_xlfn.XLOOKUP($A121,'Physical Condition Assessment'!$U:$U,'Physical Condition Assessment'!$P:$P,"!!!!!",0)</f>
        <v>0</v>
      </c>
      <c r="I121" s="525">
        <f>_xlfn.XLOOKUP($A121,'Physical Condition Assessment'!$U:$U,'Physical Condition Assessment'!$R:$R,"!!!!!",0)</f>
        <v>0</v>
      </c>
      <c r="J121" s="471">
        <f>_xlfn.XLOOKUP($A121,'Physical Condition Assessment'!$U:$U,'Physical Condition Assessment'!$S:$S,"!!!!!",0)</f>
        <v>0</v>
      </c>
      <c r="K121" s="469">
        <f>_xlfn.XLOOKUP($A121,'Physical Condition Assessment'!$U:$U,'Physical Condition Assessment'!$T:$T,"!!!!!",0)</f>
        <v>0</v>
      </c>
      <c r="L121" s="502" t="str">
        <f>_xlfn.XLOOKUP($A121,'Physical Condition Assessment'!$U:$U,'Physical Condition Assessment'!$V:$V,"missing",0)</f>
        <v>Electrical</v>
      </c>
      <c r="M121" s="469" t="str">
        <f>_xlfn.XLOOKUP($A121,'Physical Condition Assessment'!$U:$U,'Physical Condition Assessment'!$AE:$AE,"!!!!!",0)</f>
        <v>SF</v>
      </c>
      <c r="N121" s="471">
        <f>_xlfn.XLOOKUP($A121,'Physical Condition Assessment'!$U:$U,'Physical Condition Assessment'!$AP:$AP,"!!!!!",0)</f>
        <v>0</v>
      </c>
      <c r="O121" s="526">
        <f t="shared" si="4"/>
        <v>0</v>
      </c>
      <c r="P121" s="502" t="str">
        <f t="shared" si="5"/>
        <v>Green</v>
      </c>
      <c r="R121" s="502" t="str">
        <f t="shared" si="6"/>
        <v/>
      </c>
      <c r="S121" s="502" t="str">
        <f t="shared" si="7"/>
        <v/>
      </c>
      <c r="T121" s="95" t="s">
        <v>813</v>
      </c>
      <c r="U121" s="95" t="s">
        <v>830</v>
      </c>
      <c r="V121" s="95" t="s">
        <v>831</v>
      </c>
      <c r="W121" s="95" t="s">
        <v>816</v>
      </c>
      <c r="Z121" s="95" t="s">
        <v>318</v>
      </c>
      <c r="AD121" s="502" t="s">
        <v>832</v>
      </c>
    </row>
    <row r="122" spans="1:30" x14ac:dyDescent="0.2">
      <c r="A122" s="502" t="s">
        <v>307</v>
      </c>
      <c r="B122" s="469">
        <f>_xlfn.XLOOKUP($A122,'Physical Condition Assessment'!$U:$U,'Physical Condition Assessment'!$E:$E,"!!!!!",0)</f>
        <v>0</v>
      </c>
      <c r="C122" s="469">
        <f>_xlfn.XLOOKUP($A122,'Physical Condition Assessment'!$U:$U,'Physical Condition Assessment'!$F:$F,"!!!!!",0)</f>
        <v>0</v>
      </c>
      <c r="D122" s="469">
        <f>_xlfn.XLOOKUP($A122,'Physical Condition Assessment'!$U:$U,'Physical Condition Assessment'!$H:$H,"!!!!!",0)</f>
        <v>0</v>
      </c>
      <c r="E122" s="469">
        <f>_xlfn.XLOOKUP($A122,'Physical Condition Assessment'!$U:$U,'Physical Condition Assessment'!$J:$J,"!!!!!",0)</f>
        <v>0</v>
      </c>
      <c r="F122" s="469">
        <f>_xlfn.XLOOKUP($A122,'Physical Condition Assessment'!$U:$U,'Physical Condition Assessment'!$L:$L,"!!!!!",0)</f>
        <v>0</v>
      </c>
      <c r="G122" s="469">
        <f>_xlfn.XLOOKUP($A122,'Physical Condition Assessment'!$U:$U,'Physical Condition Assessment'!$N:$N,"!!!!!",0)</f>
        <v>0</v>
      </c>
      <c r="H122" s="469">
        <f>_xlfn.XLOOKUP($A122,'Physical Condition Assessment'!$U:$U,'Physical Condition Assessment'!$P:$P,"!!!!!",0)</f>
        <v>0</v>
      </c>
      <c r="I122" s="525">
        <f>_xlfn.XLOOKUP($A122,'Physical Condition Assessment'!$U:$U,'Physical Condition Assessment'!$R:$R,"!!!!!",0)</f>
        <v>0</v>
      </c>
      <c r="J122" s="471">
        <f>_xlfn.XLOOKUP($A122,'Physical Condition Assessment'!$U:$U,'Physical Condition Assessment'!$S:$S,"!!!!!",0)</f>
        <v>0</v>
      </c>
      <c r="K122" s="469">
        <f>_xlfn.XLOOKUP($A122,'Physical Condition Assessment'!$U:$U,'Physical Condition Assessment'!$T:$T,"!!!!!",0)</f>
        <v>0</v>
      </c>
      <c r="L122" s="502" t="str">
        <f>_xlfn.XLOOKUP($A122,'Physical Condition Assessment'!$U:$U,'Physical Condition Assessment'!$V:$V,"missing",0)</f>
        <v>Electrical</v>
      </c>
      <c r="M122" s="469" t="str">
        <f>_xlfn.XLOOKUP($A122,'Physical Condition Assessment'!$U:$U,'Physical Condition Assessment'!$AE:$AE,"!!!!!",0)</f>
        <v>SF</v>
      </c>
      <c r="N122" s="471">
        <f>_xlfn.XLOOKUP($A122,'Physical Condition Assessment'!$U:$U,'Physical Condition Assessment'!$AP:$AP,"!!!!!",0)</f>
        <v>0</v>
      </c>
      <c r="O122" s="526">
        <f t="shared" si="4"/>
        <v>0</v>
      </c>
      <c r="P122" s="502" t="str">
        <f t="shared" si="5"/>
        <v>Green</v>
      </c>
      <c r="R122" s="502" t="str">
        <f t="shared" si="6"/>
        <v/>
      </c>
      <c r="S122" s="502" t="str">
        <f t="shared" si="7"/>
        <v/>
      </c>
      <c r="T122" s="95" t="s">
        <v>813</v>
      </c>
      <c r="U122" s="95" t="s">
        <v>833</v>
      </c>
      <c r="V122" s="95" t="s">
        <v>834</v>
      </c>
      <c r="W122" s="95" t="s">
        <v>816</v>
      </c>
      <c r="Z122" s="95" t="s">
        <v>306</v>
      </c>
      <c r="AD122" s="502" t="s">
        <v>835</v>
      </c>
    </row>
    <row r="123" spans="1:30" x14ac:dyDescent="0.2">
      <c r="A123" s="502" t="s">
        <v>357</v>
      </c>
      <c r="B123" s="469">
        <f>_xlfn.XLOOKUP($A123,'Physical Condition Assessment'!$U:$U,'Physical Condition Assessment'!$E:$E,"!!!!!",0)</f>
        <v>0</v>
      </c>
      <c r="C123" s="469">
        <f>_xlfn.XLOOKUP($A123,'Physical Condition Assessment'!$U:$U,'Physical Condition Assessment'!$F:$F,"!!!!!",0)</f>
        <v>0</v>
      </c>
      <c r="D123" s="469">
        <f>_xlfn.XLOOKUP($A123,'Physical Condition Assessment'!$U:$U,'Physical Condition Assessment'!$H:$H,"!!!!!",0)</f>
        <v>0</v>
      </c>
      <c r="E123" s="469">
        <f>_xlfn.XLOOKUP($A123,'Physical Condition Assessment'!$U:$U,'Physical Condition Assessment'!$J:$J,"!!!!!",0)</f>
        <v>0</v>
      </c>
      <c r="F123" s="469">
        <f>_xlfn.XLOOKUP($A123,'Physical Condition Assessment'!$U:$U,'Physical Condition Assessment'!$L:$L,"!!!!!",0)</f>
        <v>0</v>
      </c>
      <c r="G123" s="469">
        <f>_xlfn.XLOOKUP($A123,'Physical Condition Assessment'!$U:$U,'Physical Condition Assessment'!$N:$N,"!!!!!",0)</f>
        <v>0</v>
      </c>
      <c r="H123" s="469">
        <f>_xlfn.XLOOKUP($A123,'Physical Condition Assessment'!$U:$U,'Physical Condition Assessment'!$P:$P,"!!!!!",0)</f>
        <v>0</v>
      </c>
      <c r="I123" s="525">
        <f>_xlfn.XLOOKUP($A123,'Physical Condition Assessment'!$U:$U,'Physical Condition Assessment'!$R:$R,"!!!!!",0)</f>
        <v>0</v>
      </c>
      <c r="J123" s="471">
        <f>_xlfn.XLOOKUP($A123,'Physical Condition Assessment'!$U:$U,'Physical Condition Assessment'!$S:$S,"!!!!!",0)</f>
        <v>0</v>
      </c>
      <c r="K123" s="469">
        <f>_xlfn.XLOOKUP($A123,'Physical Condition Assessment'!$U:$U,'Physical Condition Assessment'!$T:$T,"!!!!!",0)</f>
        <v>0</v>
      </c>
      <c r="L123" s="502" t="str">
        <f>_xlfn.XLOOKUP($A123,'Physical Condition Assessment'!$U:$U,'Physical Condition Assessment'!$V:$V,"missing",0)</f>
        <v>Site</v>
      </c>
      <c r="M123" s="469" t="str">
        <f>_xlfn.XLOOKUP($A123,'Physical Condition Assessment'!$U:$U,'Physical Condition Assessment'!$AE:$AE,"!!!!!",0)</f>
        <v>Unit</v>
      </c>
      <c r="N123" s="471">
        <f>_xlfn.XLOOKUP($A123,'Physical Condition Assessment'!$U:$U,'Physical Condition Assessment'!$AP:$AP,"!!!!!",0)</f>
        <v>0</v>
      </c>
      <c r="O123" s="526">
        <f t="shared" si="4"/>
        <v>0</v>
      </c>
      <c r="P123" s="502" t="str">
        <f t="shared" si="5"/>
        <v>Green</v>
      </c>
      <c r="R123" s="502" t="str">
        <f t="shared" si="6"/>
        <v/>
      </c>
      <c r="S123" s="502" t="str">
        <f t="shared" si="7"/>
        <v/>
      </c>
      <c r="T123" s="95" t="s">
        <v>836</v>
      </c>
      <c r="U123" s="95" t="s">
        <v>837</v>
      </c>
      <c r="V123" s="95" t="s">
        <v>838</v>
      </c>
      <c r="W123" s="95" t="s">
        <v>358</v>
      </c>
      <c r="X123" s="95" t="s">
        <v>839</v>
      </c>
    </row>
    <row r="124" spans="1:30" x14ac:dyDescent="0.2">
      <c r="A124" s="502" t="s">
        <v>360</v>
      </c>
      <c r="B124" s="469">
        <f>_xlfn.XLOOKUP($A124,'Physical Condition Assessment'!$U:$U,'Physical Condition Assessment'!$E:$E,"!!!!!",0)</f>
        <v>0</v>
      </c>
      <c r="C124" s="469">
        <f>_xlfn.XLOOKUP($A124,'Physical Condition Assessment'!$U:$U,'Physical Condition Assessment'!$F:$F,"!!!!!",0)</f>
        <v>0</v>
      </c>
      <c r="D124" s="469">
        <f>_xlfn.XLOOKUP($A124,'Physical Condition Assessment'!$U:$U,'Physical Condition Assessment'!$H:$H,"!!!!!",0)</f>
        <v>0</v>
      </c>
      <c r="E124" s="469">
        <f>_xlfn.XLOOKUP($A124,'Physical Condition Assessment'!$U:$U,'Physical Condition Assessment'!$J:$J,"!!!!!",0)</f>
        <v>0</v>
      </c>
      <c r="F124" s="469">
        <f>_xlfn.XLOOKUP($A124,'Physical Condition Assessment'!$U:$U,'Physical Condition Assessment'!$L:$L,"!!!!!",0)</f>
        <v>0</v>
      </c>
      <c r="G124" s="469">
        <f>_xlfn.XLOOKUP($A124,'Physical Condition Assessment'!$U:$U,'Physical Condition Assessment'!$N:$N,"!!!!!",0)</f>
        <v>0</v>
      </c>
      <c r="H124" s="469">
        <f>_xlfn.XLOOKUP($A124,'Physical Condition Assessment'!$U:$U,'Physical Condition Assessment'!$P:$P,"!!!!!",0)</f>
        <v>0</v>
      </c>
      <c r="I124" s="525">
        <f>_xlfn.XLOOKUP($A124,'Physical Condition Assessment'!$U:$U,'Physical Condition Assessment'!$R:$R,"!!!!!",0)</f>
        <v>0</v>
      </c>
      <c r="J124" s="471">
        <f>_xlfn.XLOOKUP($A124,'Physical Condition Assessment'!$U:$U,'Physical Condition Assessment'!$S:$S,"!!!!!",0)</f>
        <v>0</v>
      </c>
      <c r="K124" s="469">
        <f>_xlfn.XLOOKUP($A124,'Physical Condition Assessment'!$U:$U,'Physical Condition Assessment'!$T:$T,"!!!!!",0)</f>
        <v>0</v>
      </c>
      <c r="L124" s="502" t="str">
        <f>_xlfn.XLOOKUP($A124,'Physical Condition Assessment'!$U:$U,'Physical Condition Assessment'!$V:$V,"missing",0)</f>
        <v>Site</v>
      </c>
      <c r="M124" s="469" t="str">
        <f>_xlfn.XLOOKUP($A124,'Physical Condition Assessment'!$U:$U,'Physical Condition Assessment'!$AE:$AE,"!!!!!",0)</f>
        <v>Unit</v>
      </c>
      <c r="N124" s="471">
        <f>_xlfn.XLOOKUP($A124,'Physical Condition Assessment'!$U:$U,'Physical Condition Assessment'!$AP:$AP,"!!!!!",0)</f>
        <v>0</v>
      </c>
      <c r="O124" s="526">
        <f t="shared" si="4"/>
        <v>0</v>
      </c>
      <c r="P124" s="502" t="str">
        <f t="shared" si="5"/>
        <v>Green</v>
      </c>
      <c r="R124" s="502" t="str">
        <f t="shared" si="6"/>
        <v/>
      </c>
      <c r="S124" s="502" t="str">
        <f t="shared" si="7"/>
        <v/>
      </c>
      <c r="T124" s="95" t="s">
        <v>840</v>
      </c>
      <c r="U124" s="95" t="s">
        <v>841</v>
      </c>
      <c r="V124" s="95" t="s">
        <v>842</v>
      </c>
      <c r="W124" s="95" t="s">
        <v>841</v>
      </c>
    </row>
    <row r="125" spans="1:30" x14ac:dyDescent="0.2">
      <c r="A125" s="502" t="s">
        <v>368</v>
      </c>
      <c r="B125" s="469">
        <f>_xlfn.XLOOKUP($A125,'Physical Condition Assessment'!$U:$U,'Physical Condition Assessment'!$E:$E,"!!!!!",0)</f>
        <v>0</v>
      </c>
      <c r="C125" s="469">
        <f>_xlfn.XLOOKUP($A125,'Physical Condition Assessment'!$U:$U,'Physical Condition Assessment'!$F:$F,"!!!!!",0)</f>
        <v>0</v>
      </c>
      <c r="D125" s="469">
        <f>_xlfn.XLOOKUP($A125,'Physical Condition Assessment'!$U:$U,'Physical Condition Assessment'!$H:$H,"!!!!!",0)</f>
        <v>0</v>
      </c>
      <c r="E125" s="469">
        <f>_xlfn.XLOOKUP($A125,'Physical Condition Assessment'!$U:$U,'Physical Condition Assessment'!$J:$J,"!!!!!",0)</f>
        <v>0</v>
      </c>
      <c r="F125" s="469">
        <f>_xlfn.XLOOKUP($A125,'Physical Condition Assessment'!$U:$U,'Physical Condition Assessment'!$L:$L,"!!!!!",0)</f>
        <v>0</v>
      </c>
      <c r="G125" s="469">
        <f>_xlfn.XLOOKUP($A125,'Physical Condition Assessment'!$U:$U,'Physical Condition Assessment'!$N:$N,"!!!!!",0)</f>
        <v>0</v>
      </c>
      <c r="H125" s="469">
        <f>_xlfn.XLOOKUP($A125,'Physical Condition Assessment'!$U:$U,'Physical Condition Assessment'!$P:$P,"!!!!!",0)</f>
        <v>0</v>
      </c>
      <c r="I125" s="525">
        <f>_xlfn.XLOOKUP($A125,'Physical Condition Assessment'!$U:$U,'Physical Condition Assessment'!$R:$R,"!!!!!",0)</f>
        <v>0</v>
      </c>
      <c r="J125" s="471">
        <f>_xlfn.XLOOKUP($A125,'Physical Condition Assessment'!$U:$U,'Physical Condition Assessment'!$S:$S,"!!!!!",0)</f>
        <v>0</v>
      </c>
      <c r="K125" s="469">
        <f>_xlfn.XLOOKUP($A125,'Physical Condition Assessment'!$U:$U,'Physical Condition Assessment'!$T:$T,"!!!!!",0)</f>
        <v>0</v>
      </c>
      <c r="L125" s="502" t="str">
        <f>_xlfn.XLOOKUP($A125,'Physical Condition Assessment'!$U:$U,'Physical Condition Assessment'!$V:$V,"missing",0)</f>
        <v>Plumbing</v>
      </c>
      <c r="M125" s="469" t="str">
        <f>_xlfn.XLOOKUP($A125,'Physical Condition Assessment'!$U:$U,'Physical Condition Assessment'!$AE:$AE,"!!!!!",0)</f>
        <v>Unit</v>
      </c>
      <c r="N125" s="471">
        <f>_xlfn.XLOOKUP($A125,'Physical Condition Assessment'!$U:$U,'Physical Condition Assessment'!$AP:$AP,"!!!!!",0)</f>
        <v>0</v>
      </c>
      <c r="O125" s="526">
        <f t="shared" si="4"/>
        <v>0</v>
      </c>
      <c r="P125" s="502" t="str">
        <f t="shared" si="5"/>
        <v>Green</v>
      </c>
      <c r="R125" s="502" t="str">
        <f t="shared" si="6"/>
        <v/>
      </c>
      <c r="S125" s="502" t="str">
        <f t="shared" si="7"/>
        <v/>
      </c>
      <c r="T125" s="95" t="s">
        <v>843</v>
      </c>
      <c r="U125" s="95" t="s">
        <v>844</v>
      </c>
      <c r="V125" s="95" t="s">
        <v>845</v>
      </c>
      <c r="W125" s="95" t="s">
        <v>754</v>
      </c>
      <c r="X125" s="95" t="s">
        <v>846</v>
      </c>
    </row>
    <row r="126" spans="1:30" x14ac:dyDescent="0.2">
      <c r="A126" s="502" t="s">
        <v>370</v>
      </c>
      <c r="B126" s="469">
        <f>_xlfn.XLOOKUP($A126,'Physical Condition Assessment'!$U:$U,'Physical Condition Assessment'!$E:$E,"!!!!!",0)</f>
        <v>0</v>
      </c>
      <c r="C126" s="469">
        <f>_xlfn.XLOOKUP($A126,'Physical Condition Assessment'!$U:$U,'Physical Condition Assessment'!$F:$F,"!!!!!",0)</f>
        <v>0</v>
      </c>
      <c r="D126" s="469">
        <f>_xlfn.XLOOKUP($A126,'Physical Condition Assessment'!$U:$U,'Physical Condition Assessment'!$H:$H,"!!!!!",0)</f>
        <v>0</v>
      </c>
      <c r="E126" s="469">
        <f>_xlfn.XLOOKUP($A126,'Physical Condition Assessment'!$U:$U,'Physical Condition Assessment'!$J:$J,"!!!!!",0)</f>
        <v>0</v>
      </c>
      <c r="F126" s="469">
        <f>_xlfn.XLOOKUP($A126,'Physical Condition Assessment'!$U:$U,'Physical Condition Assessment'!$L:$L,"!!!!!",0)</f>
        <v>0</v>
      </c>
      <c r="G126" s="469">
        <f>_xlfn.XLOOKUP($A126,'Physical Condition Assessment'!$U:$U,'Physical Condition Assessment'!$N:$N,"!!!!!",0)</f>
        <v>0</v>
      </c>
      <c r="H126" s="469">
        <f>_xlfn.XLOOKUP($A126,'Physical Condition Assessment'!$U:$U,'Physical Condition Assessment'!$P:$P,"!!!!!",0)</f>
        <v>0</v>
      </c>
      <c r="I126" s="525">
        <f>_xlfn.XLOOKUP($A126,'Physical Condition Assessment'!$U:$U,'Physical Condition Assessment'!$R:$R,"!!!!!",0)</f>
        <v>0</v>
      </c>
      <c r="J126" s="471">
        <f>_xlfn.XLOOKUP($A126,'Physical Condition Assessment'!$U:$U,'Physical Condition Assessment'!$S:$S,"!!!!!",0)</f>
        <v>0</v>
      </c>
      <c r="K126" s="469">
        <f>_xlfn.XLOOKUP($A126,'Physical Condition Assessment'!$U:$U,'Physical Condition Assessment'!$T:$T,"!!!!!",0)</f>
        <v>0</v>
      </c>
      <c r="L126" s="502" t="str">
        <f>_xlfn.XLOOKUP($A126,'Physical Condition Assessment'!$U:$U,'Physical Condition Assessment'!$V:$V,"missing",0)</f>
        <v>Plumbing</v>
      </c>
      <c r="M126" s="469" t="str">
        <f>_xlfn.XLOOKUP($A126,'Physical Condition Assessment'!$U:$U,'Physical Condition Assessment'!$AE:$AE,"!!!!!",0)</f>
        <v>Unit</v>
      </c>
      <c r="N126" s="471">
        <f>_xlfn.XLOOKUP($A126,'Physical Condition Assessment'!$U:$U,'Physical Condition Assessment'!$AP:$AP,"!!!!!",0)</f>
        <v>0</v>
      </c>
      <c r="O126" s="526">
        <f t="shared" si="4"/>
        <v>0</v>
      </c>
      <c r="P126" s="502" t="str">
        <f t="shared" si="5"/>
        <v>Green</v>
      </c>
      <c r="R126" s="502" t="str">
        <f t="shared" si="6"/>
        <v/>
      </c>
      <c r="S126" s="502" t="str">
        <f t="shared" si="7"/>
        <v/>
      </c>
      <c r="T126" s="95" t="s">
        <v>847</v>
      </c>
      <c r="U126" s="95" t="s">
        <v>848</v>
      </c>
      <c r="V126" s="95" t="s">
        <v>849</v>
      </c>
      <c r="W126" s="95" t="s">
        <v>850</v>
      </c>
      <c r="X126" s="95" t="s">
        <v>846</v>
      </c>
    </row>
    <row r="127" spans="1:30" x14ac:dyDescent="0.2">
      <c r="A127" s="502" t="s">
        <v>372</v>
      </c>
      <c r="B127" s="469">
        <f>_xlfn.XLOOKUP($A127,'Physical Condition Assessment'!$U:$U,'Physical Condition Assessment'!$E:$E,"!!!!!",0)</f>
        <v>0</v>
      </c>
      <c r="C127" s="469">
        <f>_xlfn.XLOOKUP($A127,'Physical Condition Assessment'!$U:$U,'Physical Condition Assessment'!$F:$F,"!!!!!",0)</f>
        <v>0</v>
      </c>
      <c r="D127" s="469">
        <f>_xlfn.XLOOKUP($A127,'Physical Condition Assessment'!$U:$U,'Physical Condition Assessment'!$H:$H,"!!!!!",0)</f>
        <v>0</v>
      </c>
      <c r="E127" s="469">
        <f>_xlfn.XLOOKUP($A127,'Physical Condition Assessment'!$U:$U,'Physical Condition Assessment'!$J:$J,"!!!!!",0)</f>
        <v>0</v>
      </c>
      <c r="F127" s="469">
        <f>_xlfn.XLOOKUP($A127,'Physical Condition Assessment'!$U:$U,'Physical Condition Assessment'!$L:$L,"!!!!!",0)</f>
        <v>0</v>
      </c>
      <c r="G127" s="469">
        <f>_xlfn.XLOOKUP($A127,'Physical Condition Assessment'!$U:$U,'Physical Condition Assessment'!$N:$N,"!!!!!",0)</f>
        <v>0</v>
      </c>
      <c r="H127" s="469">
        <f>_xlfn.XLOOKUP($A127,'Physical Condition Assessment'!$U:$U,'Physical Condition Assessment'!$P:$P,"!!!!!",0)</f>
        <v>0</v>
      </c>
      <c r="I127" s="525">
        <f>_xlfn.XLOOKUP($A127,'Physical Condition Assessment'!$U:$U,'Physical Condition Assessment'!$R:$R,"!!!!!",0)</f>
        <v>0</v>
      </c>
      <c r="J127" s="471">
        <f>_xlfn.XLOOKUP($A127,'Physical Condition Assessment'!$U:$U,'Physical Condition Assessment'!$S:$S,"!!!!!",0)</f>
        <v>0</v>
      </c>
      <c r="K127" s="469">
        <f>_xlfn.XLOOKUP($A127,'Physical Condition Assessment'!$U:$U,'Physical Condition Assessment'!$T:$T,"!!!!!",0)</f>
        <v>0</v>
      </c>
      <c r="L127" s="502" t="str">
        <f>_xlfn.XLOOKUP($A127,'Physical Condition Assessment'!$U:$U,'Physical Condition Assessment'!$V:$V,"missing",0)</f>
        <v>Plumbing</v>
      </c>
      <c r="M127" s="469" t="str">
        <f>_xlfn.XLOOKUP($A127,'Physical Condition Assessment'!$U:$U,'Physical Condition Assessment'!$AE:$AE,"!!!!!",0)</f>
        <v>Unit</v>
      </c>
      <c r="N127" s="471">
        <f>_xlfn.XLOOKUP($A127,'Physical Condition Assessment'!$U:$U,'Physical Condition Assessment'!$AP:$AP,"!!!!!",0)</f>
        <v>0</v>
      </c>
      <c r="O127" s="526">
        <f t="shared" si="4"/>
        <v>0</v>
      </c>
      <c r="P127" s="502" t="str">
        <f t="shared" si="5"/>
        <v>Green</v>
      </c>
      <c r="R127" s="502" t="str">
        <f t="shared" si="6"/>
        <v/>
      </c>
      <c r="S127" s="502" t="str">
        <f t="shared" si="7"/>
        <v/>
      </c>
      <c r="T127" s="95" t="s">
        <v>851</v>
      </c>
      <c r="U127" s="95" t="s">
        <v>852</v>
      </c>
      <c r="V127" s="95" t="s">
        <v>853</v>
      </c>
      <c r="W127" s="95" t="s">
        <v>854</v>
      </c>
      <c r="X127" s="95" t="s">
        <v>455</v>
      </c>
    </row>
    <row r="128" spans="1:30" x14ac:dyDescent="0.2">
      <c r="A128" s="502" t="s">
        <v>374</v>
      </c>
      <c r="B128" s="469">
        <f>_xlfn.XLOOKUP($A128,'Physical Condition Assessment'!$U:$U,'Physical Condition Assessment'!$E:$E,"!!!!!",0)</f>
        <v>0</v>
      </c>
      <c r="C128" s="469">
        <f>_xlfn.XLOOKUP($A128,'Physical Condition Assessment'!$U:$U,'Physical Condition Assessment'!$F:$F,"!!!!!",0)</f>
        <v>0</v>
      </c>
      <c r="D128" s="469">
        <f>_xlfn.XLOOKUP($A128,'Physical Condition Assessment'!$U:$U,'Physical Condition Assessment'!$H:$H,"!!!!!",0)</f>
        <v>0</v>
      </c>
      <c r="E128" s="469">
        <f>_xlfn.XLOOKUP($A128,'Physical Condition Assessment'!$U:$U,'Physical Condition Assessment'!$J:$J,"!!!!!",0)</f>
        <v>0</v>
      </c>
      <c r="F128" s="469">
        <f>_xlfn.XLOOKUP($A128,'Physical Condition Assessment'!$U:$U,'Physical Condition Assessment'!$L:$L,"!!!!!",0)</f>
        <v>0</v>
      </c>
      <c r="G128" s="469">
        <f>_xlfn.XLOOKUP($A128,'Physical Condition Assessment'!$U:$U,'Physical Condition Assessment'!$N:$N,"!!!!!",0)</f>
        <v>0</v>
      </c>
      <c r="H128" s="469">
        <f>_xlfn.XLOOKUP($A128,'Physical Condition Assessment'!$U:$U,'Physical Condition Assessment'!$P:$P,"!!!!!",0)</f>
        <v>0</v>
      </c>
      <c r="I128" s="525">
        <f>_xlfn.XLOOKUP($A128,'Physical Condition Assessment'!$U:$U,'Physical Condition Assessment'!$R:$R,"!!!!!",0)</f>
        <v>0</v>
      </c>
      <c r="J128" s="471">
        <f>_xlfn.XLOOKUP($A128,'Physical Condition Assessment'!$U:$U,'Physical Condition Assessment'!$S:$S,"!!!!!",0)</f>
        <v>0</v>
      </c>
      <c r="K128" s="469">
        <f>_xlfn.XLOOKUP($A128,'Physical Condition Assessment'!$U:$U,'Physical Condition Assessment'!$T:$T,"!!!!!",0)</f>
        <v>0</v>
      </c>
      <c r="L128" s="502" t="str">
        <f>_xlfn.XLOOKUP($A128,'Physical Condition Assessment'!$U:$U,'Physical Condition Assessment'!$V:$V,"missing",0)</f>
        <v>Plumbing</v>
      </c>
      <c r="M128" s="469" t="str">
        <f>_xlfn.XLOOKUP($A128,'Physical Condition Assessment'!$U:$U,'Physical Condition Assessment'!$AE:$AE,"!!!!!",0)</f>
        <v>Unit</v>
      </c>
      <c r="N128" s="471">
        <f>_xlfn.XLOOKUP($A128,'Physical Condition Assessment'!$U:$U,'Physical Condition Assessment'!$AP:$AP,"!!!!!",0)</f>
        <v>0</v>
      </c>
      <c r="O128" s="526">
        <f t="shared" ref="O128:O130" si="8">IF(J128=0,0,(J128/N128))</f>
        <v>0</v>
      </c>
      <c r="P128" s="502" t="str">
        <f t="shared" si="5"/>
        <v>Green</v>
      </c>
      <c r="R128" s="502" t="str">
        <f t="shared" si="6"/>
        <v/>
      </c>
      <c r="S128" s="502" t="str">
        <f t="shared" si="7"/>
        <v/>
      </c>
      <c r="T128" s="95" t="s">
        <v>855</v>
      </c>
      <c r="U128" s="95" t="s">
        <v>856</v>
      </c>
      <c r="V128" s="95" t="s">
        <v>857</v>
      </c>
      <c r="W128" s="95" t="s">
        <v>618</v>
      </c>
      <c r="X128" s="95" t="s">
        <v>455</v>
      </c>
    </row>
    <row r="129" spans="1:26" x14ac:dyDescent="0.2">
      <c r="A129" s="502" t="s">
        <v>376</v>
      </c>
      <c r="B129" s="469">
        <f>_xlfn.XLOOKUP($A129,'Physical Condition Assessment'!$U:$U,'Physical Condition Assessment'!$E:$E,"!!!!!",0)</f>
        <v>0</v>
      </c>
      <c r="C129" s="469">
        <f>_xlfn.XLOOKUP($A129,'Physical Condition Assessment'!$U:$U,'Physical Condition Assessment'!$F:$F,"!!!!!",0)</f>
        <v>0</v>
      </c>
      <c r="D129" s="469">
        <f>_xlfn.XLOOKUP($A129,'Physical Condition Assessment'!$U:$U,'Physical Condition Assessment'!$H:$H,"!!!!!",0)</f>
        <v>0</v>
      </c>
      <c r="E129" s="469">
        <f>_xlfn.XLOOKUP($A129,'Physical Condition Assessment'!$U:$U,'Physical Condition Assessment'!$J:$J,"!!!!!",0)</f>
        <v>0</v>
      </c>
      <c r="F129" s="469">
        <f>_xlfn.XLOOKUP($A129,'Physical Condition Assessment'!$U:$U,'Physical Condition Assessment'!$L:$L,"!!!!!",0)</f>
        <v>0</v>
      </c>
      <c r="G129" s="469">
        <f>_xlfn.XLOOKUP($A129,'Physical Condition Assessment'!$U:$U,'Physical Condition Assessment'!$N:$N,"!!!!!",0)</f>
        <v>0</v>
      </c>
      <c r="H129" s="469">
        <f>_xlfn.XLOOKUP($A129,'Physical Condition Assessment'!$U:$U,'Physical Condition Assessment'!$P:$P,"!!!!!",0)</f>
        <v>0</v>
      </c>
      <c r="I129" s="525">
        <f>_xlfn.XLOOKUP($A129,'Physical Condition Assessment'!$U:$U,'Physical Condition Assessment'!$R:$R,"!!!!!",0)</f>
        <v>0</v>
      </c>
      <c r="J129" s="471">
        <f>_xlfn.XLOOKUP($A129,'Physical Condition Assessment'!$U:$U,'Physical Condition Assessment'!$S:$S,"!!!!!",0)</f>
        <v>0</v>
      </c>
      <c r="K129" s="469">
        <f>_xlfn.XLOOKUP($A129,'Physical Condition Assessment'!$U:$U,'Physical Condition Assessment'!$T:$T,"!!!!!",0)</f>
        <v>0</v>
      </c>
      <c r="L129" s="502" t="str">
        <f>_xlfn.XLOOKUP($A129,'Physical Condition Assessment'!$U:$U,'Physical Condition Assessment'!$V:$V,"missing",0)</f>
        <v>Plumbing</v>
      </c>
      <c r="M129" s="469" t="str">
        <f>_xlfn.XLOOKUP($A129,'Physical Condition Assessment'!$U:$U,'Physical Condition Assessment'!$AE:$AE,"!!!!!",0)</f>
        <v>Unit</v>
      </c>
      <c r="N129" s="471">
        <f>_xlfn.XLOOKUP($A129,'Physical Condition Assessment'!$U:$U,'Physical Condition Assessment'!$AP:$AP,"!!!!!",0)</f>
        <v>0</v>
      </c>
      <c r="O129" s="526">
        <f t="shared" si="8"/>
        <v>0</v>
      </c>
      <c r="P129" s="502" t="str">
        <f t="shared" si="5"/>
        <v>Green</v>
      </c>
      <c r="R129" s="502" t="str">
        <f t="shared" si="6"/>
        <v/>
      </c>
      <c r="S129" s="502" t="str">
        <f t="shared" si="7"/>
        <v/>
      </c>
      <c r="T129" s="95" t="s">
        <v>858</v>
      </c>
      <c r="U129" s="95" t="s">
        <v>859</v>
      </c>
      <c r="V129" s="95" t="s">
        <v>860</v>
      </c>
      <c r="W129" s="95" t="s">
        <v>861</v>
      </c>
      <c r="X129" s="95" t="s">
        <v>455</v>
      </c>
    </row>
    <row r="130" spans="1:26" x14ac:dyDescent="0.2">
      <c r="A130" s="502" t="s">
        <v>387</v>
      </c>
      <c r="B130" s="469">
        <f>_xlfn.XLOOKUP($A130,'Physical Condition Assessment'!$U:$U,'Physical Condition Assessment'!$E:$E,"!!!!!",0)</f>
        <v>0</v>
      </c>
      <c r="C130" s="469">
        <f>_xlfn.XLOOKUP($A130,'Physical Condition Assessment'!$U:$U,'Physical Condition Assessment'!$F:$F,"!!!!!",0)</f>
        <v>0</v>
      </c>
      <c r="D130" s="469">
        <f>_xlfn.XLOOKUP($A130,'Physical Condition Assessment'!$U:$U,'Physical Condition Assessment'!$H:$H,"!!!!!",0)</f>
        <v>0</v>
      </c>
      <c r="E130" s="469">
        <f>_xlfn.XLOOKUP($A130,'Physical Condition Assessment'!$U:$U,'Physical Condition Assessment'!$J:$J,"!!!!!",0)</f>
        <v>0</v>
      </c>
      <c r="F130" s="469">
        <f>_xlfn.XLOOKUP($A130,'Physical Condition Assessment'!$U:$U,'Physical Condition Assessment'!$L:$L,"!!!!!",0)</f>
        <v>0</v>
      </c>
      <c r="G130" s="469">
        <f>_xlfn.XLOOKUP($A130,'Physical Condition Assessment'!$U:$U,'Physical Condition Assessment'!$N:$N,"!!!!!",0)</f>
        <v>0</v>
      </c>
      <c r="H130" s="469">
        <f>_xlfn.XLOOKUP($A130,'Physical Condition Assessment'!$U:$U,'Physical Condition Assessment'!$P:$P,"!!!!!",0)</f>
        <v>0</v>
      </c>
      <c r="I130" s="525">
        <f>_xlfn.XLOOKUP($A130,'Physical Condition Assessment'!$U:$U,'Physical Condition Assessment'!$R:$R,"!!!!!",0)</f>
        <v>0</v>
      </c>
      <c r="J130" s="471">
        <f>_xlfn.XLOOKUP($A130,'Physical Condition Assessment'!$U:$U,'Physical Condition Assessment'!$S:$S,"!!!!!",0)</f>
        <v>0</v>
      </c>
      <c r="K130" s="469">
        <f>_xlfn.XLOOKUP($A130,'Physical Condition Assessment'!$U:$U,'Physical Condition Assessment'!$T:$T,"!!!!!",0)</f>
        <v>0</v>
      </c>
      <c r="L130" s="502" t="str">
        <f>_xlfn.XLOOKUP($A130,'Physical Condition Assessment'!$U:$U,'Physical Condition Assessment'!$V:$V,"missing",0)</f>
        <v>Electrical</v>
      </c>
      <c r="M130" s="469" t="str">
        <f>_xlfn.XLOOKUP($A130,'Physical Condition Assessment'!$U:$U,'Physical Condition Assessment'!$AE:$AE,"!!!!!",0)</f>
        <v>SF</v>
      </c>
      <c r="N130" s="471">
        <f>_xlfn.XLOOKUP($A130,'Physical Condition Assessment'!$U:$U,'Physical Condition Assessment'!$AP:$AP,"!!!!!",0)</f>
        <v>0</v>
      </c>
      <c r="O130" s="526">
        <f t="shared" si="8"/>
        <v>0</v>
      </c>
      <c r="P130" s="502" t="str">
        <f t="shared" si="5"/>
        <v>Green</v>
      </c>
      <c r="R130" s="502" t="str">
        <f t="shared" si="6"/>
        <v/>
      </c>
      <c r="S130" s="502" t="str">
        <f t="shared" si="7"/>
        <v/>
      </c>
      <c r="T130" s="95" t="s">
        <v>862</v>
      </c>
      <c r="U130" s="95" t="s">
        <v>863</v>
      </c>
      <c r="V130" s="95" t="s">
        <v>864</v>
      </c>
      <c r="W130" s="95" t="s">
        <v>358</v>
      </c>
      <c r="X130" s="95" t="s">
        <v>816</v>
      </c>
      <c r="Z130" s="95" t="s">
        <v>865</v>
      </c>
    </row>
  </sheetData>
  <pageMargins left="0.7" right="0.7" top="0.75" bottom="0.75" header="0.3" footer="0.3"/>
  <pageSetup scale="73" orientation="portrait" horizontalDpi="1200" verticalDpi="1200" r:id="rId1"/>
  <headerFooter>
    <oddHeader>&amp;C&amp;"-,Bold"&amp;A</oddHeader>
    <oddFooter>&amp;LPage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3E214-DB3D-431A-9A66-28132DC1745D}">
  <sheetPr codeName="Sheet4">
    <tabColor theme="3"/>
  </sheetPr>
  <dimension ref="A1:X142"/>
  <sheetViews>
    <sheetView topLeftCell="M1" zoomScaleNormal="100" workbookViewId="0">
      <selection activeCell="U1" sqref="U1:X1"/>
    </sheetView>
  </sheetViews>
  <sheetFormatPr baseColWidth="10" defaultColWidth="8.83203125" defaultRowHeight="15" x14ac:dyDescent="0.2"/>
  <cols>
    <col min="1" max="1" width="14" style="502" customWidth="1"/>
    <col min="2" max="2" width="26.6640625" style="502" bestFit="1" customWidth="1"/>
    <col min="3" max="3" width="23.83203125" style="502" bestFit="1" customWidth="1"/>
    <col min="4" max="4" width="32.6640625" style="502" bestFit="1" customWidth="1"/>
    <col min="5" max="5" width="23.6640625" style="502" bestFit="1" customWidth="1"/>
    <col min="6" max="6" width="51.33203125" style="502" customWidth="1"/>
    <col min="7" max="7" width="23.5" style="502" bestFit="1" customWidth="1"/>
    <col min="8" max="8" width="25.6640625" style="471" bestFit="1" customWidth="1"/>
    <col min="9" max="9" width="17.1640625" style="471" bestFit="1" customWidth="1"/>
    <col min="10" max="10" width="16.5" style="525" bestFit="1" customWidth="1"/>
    <col min="11" max="11" width="12.6640625" style="502" customWidth="1"/>
    <col min="12" max="12" width="12.83203125" style="502" customWidth="1"/>
    <col min="13" max="13" width="14" style="502" customWidth="1"/>
    <col min="14" max="14" width="13.33203125" style="502" customWidth="1"/>
    <col min="15" max="15" width="10.83203125" style="502" customWidth="1"/>
    <col min="16" max="16" width="16.33203125" style="502" bestFit="1" customWidth="1"/>
    <col min="17" max="17" width="27.6640625" style="502" bestFit="1" customWidth="1"/>
    <col min="18" max="18" width="18.33203125" style="502" bestFit="1" customWidth="1"/>
    <col min="19" max="19" width="17.83203125" style="502" bestFit="1" customWidth="1"/>
    <col min="20" max="20" width="9.5" style="502" bestFit="1" customWidth="1"/>
    <col min="21" max="24" width="13.5" style="502" customWidth="1"/>
    <col min="25" max="16384" width="8.83203125" style="502"/>
  </cols>
  <sheetData>
    <row r="1" spans="1:24" s="505" customFormat="1" x14ac:dyDescent="0.2">
      <c r="A1" s="593" t="s">
        <v>866</v>
      </c>
      <c r="B1" s="593" t="s">
        <v>867</v>
      </c>
      <c r="C1" s="593" t="s">
        <v>868</v>
      </c>
      <c r="D1" s="593" t="s">
        <v>869</v>
      </c>
      <c r="E1" s="593" t="s">
        <v>870</v>
      </c>
      <c r="F1" s="593" t="s">
        <v>417</v>
      </c>
      <c r="G1" s="593" t="s">
        <v>2062</v>
      </c>
      <c r="H1" s="594" t="s">
        <v>871</v>
      </c>
      <c r="I1" s="594" t="s">
        <v>872</v>
      </c>
      <c r="J1" s="595" t="s">
        <v>873</v>
      </c>
      <c r="K1" s="596" t="s">
        <v>65</v>
      </c>
      <c r="L1" s="593" t="s">
        <v>2037</v>
      </c>
      <c r="M1" s="593" t="s">
        <v>2038</v>
      </c>
      <c r="N1" s="593" t="s">
        <v>2039</v>
      </c>
      <c r="Q1" s="593" t="s">
        <v>2062</v>
      </c>
      <c r="R1" s="594" t="s">
        <v>871</v>
      </c>
      <c r="S1" s="594" t="s">
        <v>872</v>
      </c>
      <c r="T1" s="595" t="s">
        <v>873</v>
      </c>
      <c r="U1" s="596" t="s">
        <v>65</v>
      </c>
      <c r="V1" s="593" t="s">
        <v>2037</v>
      </c>
      <c r="W1" s="593" t="s">
        <v>2038</v>
      </c>
      <c r="X1" s="593" t="s">
        <v>2039</v>
      </c>
    </row>
    <row r="2" spans="1:24" x14ac:dyDescent="0.2">
      <c r="A2" s="502">
        <f>'Base Information Sheet'!$B$5</f>
        <v>0</v>
      </c>
      <c r="B2" s="502" t="str">
        <f>_xlfn.XLOOKUP($F2,'Physical Condition Assessment'!$U$10:$U$172,'Physical Condition Assessment'!A$10:A$172,"MISSING",0)</f>
        <v>B    SHELL</v>
      </c>
      <c r="C2" s="502" t="str">
        <f>_xlfn.XLOOKUP($F2,'Physical Condition Assessment'!$U$10:$U$172,'Physical Condition Assessment'!B$10:B$172,"MISSING",0)</f>
        <v>B20 Exterior Enclosure</v>
      </c>
      <c r="D2" s="502" t="str">
        <f>_xlfn.XLOOKUP($F2,'Physical Condition Assessment'!$U$10:$U$172,'Physical Condition Assessment'!C$10:C$172,"MISSING",0)</f>
        <v>B2030 Exterior Doors</v>
      </c>
      <c r="E2" s="502" t="str">
        <f>_xlfn.XLOOKUP($F2,'Physical Condition Assessment'!$U$10:$U$172,'Physical Condition Assessment'!D$10:D$172,"MISSING",0)</f>
        <v>Hollow Metal</v>
      </c>
      <c r="F2" s="502" t="s">
        <v>128</v>
      </c>
      <c r="G2" s="502" t="str">
        <f>_xlfn.XLOOKUP($F2,'Physical Condition Assessment'!$U$10:$U$172,'Physical Condition Assessment'!V$10:V$172,"MISSING",0)</f>
        <v>Doors</v>
      </c>
      <c r="H2" s="471">
        <f>_xlfn.XLOOKUP($F2,'Physical Condition Assessment'!$U$10:$U$172,'Physical Condition Assessment'!S$10:S$172,"MISSING",0)</f>
        <v>0</v>
      </c>
      <c r="I2" s="471">
        <f>_xlfn.XLOOKUP($F2,'Physical Condition Assessment'!$U$10:$U$172,'Physical Condition Assessment'!AP$10:AP$172,"MISSING",0)</f>
        <v>0</v>
      </c>
      <c r="J2" s="525" t="e">
        <f>H2/I2</f>
        <v>#DIV/0!</v>
      </c>
      <c r="K2" s="471">
        <f ca="1">_xlfn.XLOOKUP($F2,'Physical Condition Assessment'!$U$10:$U$172,'Physical Condition Assessment'!AV$10:AV$172,"MISSING",0)</f>
        <v>0</v>
      </c>
      <c r="L2" s="471">
        <f ca="1">_xlfn.XLOOKUP($F2,'Physical Condition Assessment'!$U$10:$U$172,'Physical Condition Assessment'!AW$10:AW$172,"MISSING",0)</f>
        <v>0</v>
      </c>
      <c r="M2" s="471">
        <f ca="1">_xlfn.XLOOKUP($F2,'Physical Condition Assessment'!$U$10:$U$172,'Physical Condition Assessment'!AX$10:AX$172,"MISSING",0)</f>
        <v>0</v>
      </c>
      <c r="N2" s="471">
        <f ca="1">_xlfn.XLOOKUP($F2,'Physical Condition Assessment'!$U$10:$U$172,'Physical Condition Assessment'!AY$10:AY$172,"MISSING",0)</f>
        <v>0</v>
      </c>
      <c r="O2" s="472"/>
      <c r="Q2" s="502" t="s">
        <v>125</v>
      </c>
      <c r="R2" s="472">
        <f>SUMIFS(H:H,$G:$G,$Q2)</f>
        <v>0</v>
      </c>
      <c r="S2" s="472">
        <f>SUMIFS(I:I,$G:$G,$Q2)</f>
        <v>0</v>
      </c>
      <c r="T2" s="526" t="e">
        <f>R2/S2</f>
        <v>#DIV/0!</v>
      </c>
      <c r="U2" s="472">
        <f ca="1">SUMIFS(K:K,$G:$G,$Q2)</f>
        <v>0</v>
      </c>
      <c r="V2" s="472">
        <f t="shared" ref="V2:X2" ca="1" si="0">SUMIFS(L:L,$G:$G,$Q2)</f>
        <v>0</v>
      </c>
      <c r="W2" s="472">
        <f t="shared" ca="1" si="0"/>
        <v>0</v>
      </c>
      <c r="X2" s="472">
        <f t="shared" ca="1" si="0"/>
        <v>0</v>
      </c>
    </row>
    <row r="3" spans="1:24" x14ac:dyDescent="0.2">
      <c r="A3" s="502">
        <f>'Base Information Sheet'!$B$5</f>
        <v>0</v>
      </c>
      <c r="B3" s="502" t="str">
        <f>_xlfn.XLOOKUP($F3,'Physical Condition Assessment'!$U$10:$U$172,'Physical Condition Assessment'!A$10:A$172,"MISSING",0)</f>
        <v>B    SHELL</v>
      </c>
      <c r="C3" s="502" t="str">
        <f>_xlfn.XLOOKUP($F3,'Physical Condition Assessment'!$U$10:$U$172,'Physical Condition Assessment'!B$10:B$172,"MISSING",0)</f>
        <v>B20 Exterior Enclosure</v>
      </c>
      <c r="D3" s="502" t="str">
        <f>_xlfn.XLOOKUP($F3,'Physical Condition Assessment'!$U$10:$U$172,'Physical Condition Assessment'!C$10:C$172,"MISSING",0)</f>
        <v>B2030 Exterior Doors</v>
      </c>
      <c r="E3" s="502" t="str">
        <f>_xlfn.XLOOKUP($F3,'Physical Condition Assessment'!$U$10:$U$172,'Physical Condition Assessment'!D$10:D$172,"MISSING",0)</f>
        <v>Overhead Metal Garage</v>
      </c>
      <c r="F3" s="502" t="s">
        <v>132</v>
      </c>
      <c r="G3" s="502" t="str">
        <f>_xlfn.XLOOKUP($F3,'Physical Condition Assessment'!$U$10:$U$172,'Physical Condition Assessment'!V$10:V$172,"MISSING",0)</f>
        <v>Doors</v>
      </c>
      <c r="H3" s="471">
        <f>_xlfn.XLOOKUP($F3,'Physical Condition Assessment'!$U$10:$U$172,'Physical Condition Assessment'!S$10:S$172,"MISSING",0)</f>
        <v>0</v>
      </c>
      <c r="I3" s="471">
        <f>_xlfn.XLOOKUP($F3,'Physical Condition Assessment'!$U$10:$U$172,'Physical Condition Assessment'!AP$10:AP$172,"MISSING",0)</f>
        <v>0</v>
      </c>
      <c r="J3" s="525" t="e">
        <f t="shared" ref="J3:J66" si="1">H3/I3</f>
        <v>#DIV/0!</v>
      </c>
      <c r="K3" s="471">
        <f ca="1">_xlfn.XLOOKUP($F3,'Physical Condition Assessment'!$U$10:$U$172,'Physical Condition Assessment'!AV$10:AV$172,"MISSING",0)</f>
        <v>0</v>
      </c>
      <c r="L3" s="471">
        <f ca="1">_xlfn.XLOOKUP($F3,'Physical Condition Assessment'!$U$10:$U$172,'Physical Condition Assessment'!AW$10:AW$172,"MISSING",0)</f>
        <v>0</v>
      </c>
      <c r="M3" s="471">
        <f ca="1">_xlfn.XLOOKUP($F3,'Physical Condition Assessment'!$U$10:$U$172,'Physical Condition Assessment'!AX$10:AX$172,"MISSING",0)</f>
        <v>0</v>
      </c>
      <c r="N3" s="471">
        <f ca="1">_xlfn.XLOOKUP($F3,'Physical Condition Assessment'!$U$10:$U$172,'Physical Condition Assessment'!AY$10:AY$172,"MISSING",0)</f>
        <v>0</v>
      </c>
      <c r="O3" s="472"/>
      <c r="Q3" s="502" t="s">
        <v>302</v>
      </c>
      <c r="R3" s="472">
        <f t="shared" ref="R3:R15" si="2">SUMIFS(H:H,$G:$G,$Q3)</f>
        <v>0</v>
      </c>
      <c r="S3" s="472">
        <f t="shared" ref="S3:S15" si="3">SUMIFS(I:I,$G:$G,$Q3)</f>
        <v>0</v>
      </c>
      <c r="T3" s="526" t="e">
        <f t="shared" ref="T3:T16" si="4">R3/S3</f>
        <v>#DIV/0!</v>
      </c>
      <c r="U3" s="472">
        <f t="shared" ref="U3:U15" ca="1" si="5">SUMIFS(K:K,$G:$G,$Q3)</f>
        <v>0</v>
      </c>
      <c r="V3" s="472">
        <f t="shared" ref="V3:V15" ca="1" si="6">SUMIFS(L:L,$G:$G,$Q3)</f>
        <v>0</v>
      </c>
      <c r="W3" s="472">
        <f t="shared" ref="W3:W15" ca="1" si="7">SUMIFS(M:M,$G:$G,$Q3)</f>
        <v>0</v>
      </c>
      <c r="X3" s="472">
        <f t="shared" ref="X3:X15" ca="1" si="8">SUMIFS(N:N,$G:$G,$Q3)</f>
        <v>0</v>
      </c>
    </row>
    <row r="4" spans="1:24" x14ac:dyDescent="0.2">
      <c r="A4" s="502">
        <f>'Base Information Sheet'!$B$5</f>
        <v>0</v>
      </c>
      <c r="B4" s="502" t="str">
        <f>_xlfn.XLOOKUP($F4,'Physical Condition Assessment'!$U$10:$U$172,'Physical Condition Assessment'!A$10:A$172,"MISSING",0)</f>
        <v>B    SHELL</v>
      </c>
      <c r="C4" s="502" t="str">
        <f>_xlfn.XLOOKUP($F4,'Physical Condition Assessment'!$U$10:$U$172,'Physical Condition Assessment'!B$10:B$172,"MISSING",0)</f>
        <v>B20 Exterior Enclosure</v>
      </c>
      <c r="D4" s="502" t="str">
        <f>_xlfn.XLOOKUP($F4,'Physical Condition Assessment'!$U$10:$U$172,'Physical Condition Assessment'!C$10:C$172,"MISSING",0)</f>
        <v>B2030 Exterior Doors</v>
      </c>
      <c r="E4" s="502" t="str">
        <f>_xlfn.XLOOKUP($F4,'Physical Condition Assessment'!$U$10:$U$172,'Physical Condition Assessment'!D$10:D$172,"MISSING",0)</f>
        <v xml:space="preserve">Rollup Metal </v>
      </c>
      <c r="F4" s="502" t="s">
        <v>134</v>
      </c>
      <c r="G4" s="502" t="str">
        <f>_xlfn.XLOOKUP($F4,'Physical Condition Assessment'!$U$10:$U$172,'Physical Condition Assessment'!V$10:V$172,"MISSING",0)</f>
        <v>Doors</v>
      </c>
      <c r="H4" s="471">
        <f>_xlfn.XLOOKUP($F4,'Physical Condition Assessment'!$U$10:$U$172,'Physical Condition Assessment'!S$10:S$172,"MISSING",0)</f>
        <v>0</v>
      </c>
      <c r="I4" s="471">
        <f>_xlfn.XLOOKUP($F4,'Physical Condition Assessment'!$U$10:$U$172,'Physical Condition Assessment'!AP$10:AP$172,"MISSING",0)</f>
        <v>0</v>
      </c>
      <c r="J4" s="525" t="e">
        <f t="shared" si="1"/>
        <v>#DIV/0!</v>
      </c>
      <c r="K4" s="471">
        <f ca="1">_xlfn.XLOOKUP($F4,'Physical Condition Assessment'!$U$10:$U$172,'Physical Condition Assessment'!AV$10:AV$172,"MISSING",0)</f>
        <v>0</v>
      </c>
      <c r="L4" s="471">
        <f ca="1">_xlfn.XLOOKUP($F4,'Physical Condition Assessment'!$U$10:$U$172,'Physical Condition Assessment'!AW$10:AW$172,"MISSING",0)</f>
        <v>0</v>
      </c>
      <c r="M4" s="471">
        <f ca="1">_xlfn.XLOOKUP($F4,'Physical Condition Assessment'!$U$10:$U$172,'Physical Condition Assessment'!AX$10:AX$172,"MISSING",0)</f>
        <v>0</v>
      </c>
      <c r="N4" s="471">
        <f ca="1">_xlfn.XLOOKUP($F4,'Physical Condition Assessment'!$U$10:$U$172,'Physical Condition Assessment'!AY$10:AY$172,"MISSING",0)</f>
        <v>0</v>
      </c>
      <c r="O4" s="472"/>
      <c r="Q4" s="502" t="s">
        <v>100</v>
      </c>
      <c r="R4" s="472">
        <f t="shared" si="2"/>
        <v>0</v>
      </c>
      <c r="S4" s="472">
        <f t="shared" si="3"/>
        <v>0</v>
      </c>
      <c r="T4" s="526" t="e">
        <f t="shared" si="4"/>
        <v>#DIV/0!</v>
      </c>
      <c r="U4" s="472">
        <f t="shared" ca="1" si="5"/>
        <v>0</v>
      </c>
      <c r="V4" s="472">
        <f t="shared" ca="1" si="6"/>
        <v>0</v>
      </c>
      <c r="W4" s="472">
        <f t="shared" ca="1" si="7"/>
        <v>0</v>
      </c>
      <c r="X4" s="472">
        <f t="shared" ca="1" si="8"/>
        <v>0</v>
      </c>
    </row>
    <row r="5" spans="1:24" x14ac:dyDescent="0.2">
      <c r="A5" s="502">
        <f>'Base Information Sheet'!$B$5</f>
        <v>0</v>
      </c>
      <c r="B5" s="502" t="str">
        <f>_xlfn.XLOOKUP($F5,'Physical Condition Assessment'!$U$10:$U$172,'Physical Condition Assessment'!A$10:A$172,"MISSING",0)</f>
        <v>B    SHELL</v>
      </c>
      <c r="C5" s="502" t="str">
        <f>_xlfn.XLOOKUP($F5,'Physical Condition Assessment'!$U$10:$U$172,'Physical Condition Assessment'!B$10:B$172,"MISSING",0)</f>
        <v>B20 Exterior Enclosure</v>
      </c>
      <c r="D5" s="502" t="str">
        <f>_xlfn.XLOOKUP($F5,'Physical Condition Assessment'!$U$10:$U$172,'Physical Condition Assessment'!C$10:C$172,"MISSING",0)</f>
        <v>B2030 Exterior Doors</v>
      </c>
      <c r="E5" s="502" t="str">
        <f>_xlfn.XLOOKUP($F5,'Physical Condition Assessment'!$U$10:$U$172,'Physical Condition Assessment'!D$10:D$172,"MISSING",0)</f>
        <v>Storefront</v>
      </c>
      <c r="F5" s="502" t="s">
        <v>130</v>
      </c>
      <c r="G5" s="502" t="str">
        <f>_xlfn.XLOOKUP($F5,'Physical Condition Assessment'!$U$10:$U$172,'Physical Condition Assessment'!V$10:V$172,"MISSING",0)</f>
        <v>Doors</v>
      </c>
      <c r="H5" s="471">
        <f>_xlfn.XLOOKUP($F5,'Physical Condition Assessment'!$U$10:$U$172,'Physical Condition Assessment'!S$10:S$172,"MISSING",0)</f>
        <v>0</v>
      </c>
      <c r="I5" s="471">
        <f>_xlfn.XLOOKUP($F5,'Physical Condition Assessment'!$U$10:$U$172,'Physical Condition Assessment'!AP$10:AP$172,"MISSING",0)</f>
        <v>0</v>
      </c>
      <c r="J5" s="525" t="e">
        <f t="shared" si="1"/>
        <v>#DIV/0!</v>
      </c>
      <c r="K5" s="471">
        <f ca="1">_xlfn.XLOOKUP($F5,'Physical Condition Assessment'!$U$10:$U$172,'Physical Condition Assessment'!AV$10:AV$172,"MISSING",0)</f>
        <v>0</v>
      </c>
      <c r="L5" s="471">
        <f ca="1">_xlfn.XLOOKUP($F5,'Physical Condition Assessment'!$U$10:$U$172,'Physical Condition Assessment'!AW$10:AW$172,"MISSING",0)</f>
        <v>0</v>
      </c>
      <c r="M5" s="471">
        <f ca="1">_xlfn.XLOOKUP($F5,'Physical Condition Assessment'!$U$10:$U$172,'Physical Condition Assessment'!AX$10:AX$172,"MISSING",0)</f>
        <v>0</v>
      </c>
      <c r="N5" s="471">
        <f ca="1">_xlfn.XLOOKUP($F5,'Physical Condition Assessment'!$U$10:$U$172,'Physical Condition Assessment'!AY$10:AY$172,"MISSING",0)</f>
        <v>0</v>
      </c>
      <c r="O5" s="472"/>
      <c r="Q5" s="502" t="s">
        <v>114</v>
      </c>
      <c r="R5" s="472">
        <f t="shared" si="2"/>
        <v>0</v>
      </c>
      <c r="S5" s="472">
        <f t="shared" si="3"/>
        <v>0</v>
      </c>
      <c r="T5" s="526" t="e">
        <f t="shared" si="4"/>
        <v>#DIV/0!</v>
      </c>
      <c r="U5" s="472">
        <f t="shared" ca="1" si="5"/>
        <v>0</v>
      </c>
      <c r="V5" s="472">
        <f t="shared" ca="1" si="6"/>
        <v>0</v>
      </c>
      <c r="W5" s="472">
        <f t="shared" ca="1" si="7"/>
        <v>0</v>
      </c>
      <c r="X5" s="472">
        <f t="shared" ca="1" si="8"/>
        <v>0</v>
      </c>
    </row>
    <row r="6" spans="1:24" x14ac:dyDescent="0.2">
      <c r="A6" s="502">
        <f>'Base Information Sheet'!$B$5</f>
        <v>0</v>
      </c>
      <c r="B6" s="502" t="str">
        <f>_xlfn.XLOOKUP($F6,'Physical Condition Assessment'!$U$10:$U$172,'Physical Condition Assessment'!A$10:A$172,"MISSING",0)</f>
        <v>B    SHELL</v>
      </c>
      <c r="C6" s="502" t="str">
        <f>_xlfn.XLOOKUP($F6,'Physical Condition Assessment'!$U$10:$U$172,'Physical Condition Assessment'!B$10:B$172,"MISSING",0)</f>
        <v>B20 Exterior Enclosure</v>
      </c>
      <c r="D6" s="502" t="str">
        <f>_xlfn.XLOOKUP($F6,'Physical Condition Assessment'!$U$10:$U$172,'Physical Condition Assessment'!C$10:C$172,"MISSING",0)</f>
        <v>B2030 Exterior Doors</v>
      </c>
      <c r="E6" s="502" t="str">
        <f>_xlfn.XLOOKUP($F6,'Physical Condition Assessment'!$U$10:$U$172,'Physical Condition Assessment'!D$10:D$172,"MISSING",0)</f>
        <v>Wood</v>
      </c>
      <c r="F6" s="502" t="s">
        <v>124</v>
      </c>
      <c r="G6" s="502" t="str">
        <f>_xlfn.XLOOKUP($F6,'Physical Condition Assessment'!$U$10:$U$172,'Physical Condition Assessment'!V$10:V$172,"MISSING",0)</f>
        <v>Doors</v>
      </c>
      <c r="H6" s="471">
        <f>_xlfn.XLOOKUP($F6,'Physical Condition Assessment'!$U$10:$U$172,'Physical Condition Assessment'!S$10:S$172,"MISSING",0)</f>
        <v>0</v>
      </c>
      <c r="I6" s="471">
        <f>_xlfn.XLOOKUP($F6,'Physical Condition Assessment'!$U$10:$U$172,'Physical Condition Assessment'!AP$10:AP$172,"MISSING",0)</f>
        <v>0</v>
      </c>
      <c r="J6" s="525" t="e">
        <f t="shared" si="1"/>
        <v>#DIV/0!</v>
      </c>
      <c r="K6" s="471">
        <f ca="1">_xlfn.XLOOKUP($F6,'Physical Condition Assessment'!$U$10:$U$172,'Physical Condition Assessment'!AV$10:AV$172,"MISSING",0)</f>
        <v>0</v>
      </c>
      <c r="L6" s="471">
        <f ca="1">_xlfn.XLOOKUP($F6,'Physical Condition Assessment'!$U$10:$U$172,'Physical Condition Assessment'!AW$10:AW$172,"MISSING",0)</f>
        <v>0</v>
      </c>
      <c r="M6" s="471">
        <f ca="1">_xlfn.XLOOKUP($F6,'Physical Condition Assessment'!$U$10:$U$172,'Physical Condition Assessment'!AX$10:AX$172,"MISSING",0)</f>
        <v>0</v>
      </c>
      <c r="N6" s="471">
        <f ca="1">_xlfn.XLOOKUP($F6,'Physical Condition Assessment'!$U$10:$U$172,'Physical Condition Assessment'!AY$10:AY$172,"MISSING",0)</f>
        <v>0</v>
      </c>
      <c r="O6" s="472"/>
      <c r="Q6" s="502" t="s">
        <v>207</v>
      </c>
      <c r="R6" s="472">
        <f t="shared" si="2"/>
        <v>0</v>
      </c>
      <c r="S6" s="472">
        <f t="shared" si="3"/>
        <v>0</v>
      </c>
      <c r="T6" s="526" t="e">
        <f t="shared" si="4"/>
        <v>#DIV/0!</v>
      </c>
      <c r="U6" s="472">
        <f t="shared" ca="1" si="5"/>
        <v>0</v>
      </c>
      <c r="V6" s="472">
        <f t="shared" ca="1" si="6"/>
        <v>0</v>
      </c>
      <c r="W6" s="472">
        <f t="shared" ca="1" si="7"/>
        <v>0</v>
      </c>
      <c r="X6" s="472">
        <f t="shared" ca="1" si="8"/>
        <v>0</v>
      </c>
    </row>
    <row r="7" spans="1:24" x14ac:dyDescent="0.2">
      <c r="A7" s="502">
        <f>'Base Information Sheet'!$B$5</f>
        <v>0</v>
      </c>
      <c r="B7" s="502" t="str">
        <f>_xlfn.XLOOKUP($F7,'Physical Condition Assessment'!$U$10:$U$172,'Physical Condition Assessment'!A$10:A$172,"MISSING",0)</f>
        <v>C    INTERIORS</v>
      </c>
      <c r="C7" s="502" t="str">
        <f>_xlfn.XLOOKUP($F7,'Physical Condition Assessment'!$U$10:$U$172,'Physical Condition Assessment'!B$10:B$172,"MISSING",0)</f>
        <v>C10 Interior Construction</v>
      </c>
      <c r="D7" s="502" t="str">
        <f>_xlfn.XLOOKUP($F7,'Physical Condition Assessment'!$U$10:$U$172,'Physical Condition Assessment'!C$10:C$172,"MISSING",0)</f>
        <v>C1020 Interior Doors</v>
      </c>
      <c r="E7" s="502" t="str">
        <f>_xlfn.XLOOKUP($F7,'Physical Condition Assessment'!$U$10:$U$172,'Physical Condition Assessment'!D$10:D$172,"MISSING",0)</f>
        <v>Hollow Metal</v>
      </c>
      <c r="F7" s="502" t="s">
        <v>167</v>
      </c>
      <c r="G7" s="502" t="str">
        <f>_xlfn.XLOOKUP($F7,'Physical Condition Assessment'!$U$10:$U$172,'Physical Condition Assessment'!V$10:V$172,"MISSING",0)</f>
        <v>Doors</v>
      </c>
      <c r="H7" s="471">
        <f>_xlfn.XLOOKUP($F7,'Physical Condition Assessment'!$U$10:$U$172,'Physical Condition Assessment'!S$10:S$172,"MISSING",0)</f>
        <v>0</v>
      </c>
      <c r="I7" s="471">
        <f>_xlfn.XLOOKUP($F7,'Physical Condition Assessment'!$U$10:$U$172,'Physical Condition Assessment'!AP$10:AP$172,"MISSING",0)</f>
        <v>0</v>
      </c>
      <c r="J7" s="525" t="e">
        <f t="shared" si="1"/>
        <v>#DIV/0!</v>
      </c>
      <c r="K7" s="471">
        <f ca="1">_xlfn.XLOOKUP($F7,'Physical Condition Assessment'!$U$10:$U$172,'Physical Condition Assessment'!AV$10:AV$172,"MISSING",0)</f>
        <v>0</v>
      </c>
      <c r="L7" s="471">
        <f ca="1">_xlfn.XLOOKUP($F7,'Physical Condition Assessment'!$U$10:$U$172,'Physical Condition Assessment'!AW$10:AW$172,"MISSING",0)</f>
        <v>0</v>
      </c>
      <c r="M7" s="471">
        <f ca="1">_xlfn.XLOOKUP($F7,'Physical Condition Assessment'!$U$10:$U$172,'Physical Condition Assessment'!AX$10:AX$172,"MISSING",0)</f>
        <v>0</v>
      </c>
      <c r="N7" s="471">
        <f ca="1">_xlfn.XLOOKUP($F7,'Physical Condition Assessment'!$U$10:$U$172,'Physical Condition Assessment'!AY$10:AY$172,"MISSING",0)</f>
        <v>0</v>
      </c>
      <c r="O7" s="472"/>
      <c r="Q7" s="502" t="s">
        <v>70</v>
      </c>
      <c r="R7" s="472">
        <f t="shared" si="2"/>
        <v>0</v>
      </c>
      <c r="S7" s="472">
        <f t="shared" si="3"/>
        <v>0</v>
      </c>
      <c r="T7" s="526" t="e">
        <f t="shared" si="4"/>
        <v>#DIV/0!</v>
      </c>
      <c r="U7" s="472">
        <f t="shared" ca="1" si="5"/>
        <v>0</v>
      </c>
      <c r="V7" s="472">
        <f t="shared" ca="1" si="6"/>
        <v>0</v>
      </c>
      <c r="W7" s="472">
        <f t="shared" ca="1" si="7"/>
        <v>0</v>
      </c>
      <c r="X7" s="472">
        <f t="shared" ca="1" si="8"/>
        <v>0</v>
      </c>
    </row>
    <row r="8" spans="1:24" x14ac:dyDescent="0.2">
      <c r="A8" s="502">
        <f>'Base Information Sheet'!$B$5</f>
        <v>0</v>
      </c>
      <c r="B8" s="502" t="str">
        <f>_xlfn.XLOOKUP($F8,'Physical Condition Assessment'!$U$10:$U$172,'Physical Condition Assessment'!A$10:A$172,"MISSING",0)</f>
        <v>C    INTERIORS</v>
      </c>
      <c r="C8" s="502" t="str">
        <f>_xlfn.XLOOKUP($F8,'Physical Condition Assessment'!$U$10:$U$172,'Physical Condition Assessment'!B$10:B$172,"MISSING",0)</f>
        <v>C10 Interior Construction</v>
      </c>
      <c r="D8" s="502" t="str">
        <f>_xlfn.XLOOKUP($F8,'Physical Condition Assessment'!$U$10:$U$172,'Physical Condition Assessment'!C$10:C$172,"MISSING",0)</f>
        <v>C1020 Interior Doors</v>
      </c>
      <c r="E8" s="502" t="str">
        <f>_xlfn.XLOOKUP($F8,'Physical Condition Assessment'!$U$10:$U$172,'Physical Condition Assessment'!D$10:D$172,"MISSING",0)</f>
        <v>Overhead Metal Garage</v>
      </c>
      <c r="F8" s="502" t="s">
        <v>169</v>
      </c>
      <c r="G8" s="502" t="str">
        <f>_xlfn.XLOOKUP($F8,'Physical Condition Assessment'!$U$10:$U$172,'Physical Condition Assessment'!V$10:V$172,"MISSING",0)</f>
        <v>Doors</v>
      </c>
      <c r="H8" s="471">
        <f>_xlfn.XLOOKUP($F8,'Physical Condition Assessment'!$U$10:$U$172,'Physical Condition Assessment'!S$10:S$172,"MISSING",0)</f>
        <v>0</v>
      </c>
      <c r="I8" s="471">
        <f>_xlfn.XLOOKUP($F8,'Physical Condition Assessment'!$U$10:$U$172,'Physical Condition Assessment'!AP$10:AP$172,"MISSING",0)</f>
        <v>0</v>
      </c>
      <c r="J8" s="525" t="e">
        <f t="shared" si="1"/>
        <v>#DIV/0!</v>
      </c>
      <c r="K8" s="471">
        <f ca="1">_xlfn.XLOOKUP($F8,'Physical Condition Assessment'!$U$10:$U$172,'Physical Condition Assessment'!AV$10:AV$172,"MISSING",0)</f>
        <v>0</v>
      </c>
      <c r="L8" s="471">
        <f ca="1">_xlfn.XLOOKUP($F8,'Physical Condition Assessment'!$U$10:$U$172,'Physical Condition Assessment'!AW$10:AW$172,"MISSING",0)</f>
        <v>0</v>
      </c>
      <c r="M8" s="471">
        <f ca="1">_xlfn.XLOOKUP($F8,'Physical Condition Assessment'!$U$10:$U$172,'Physical Condition Assessment'!AX$10:AX$172,"MISSING",0)</f>
        <v>0</v>
      </c>
      <c r="N8" s="471">
        <f ca="1">_xlfn.XLOOKUP($F8,'Physical Condition Assessment'!$U$10:$U$172,'Physical Condition Assessment'!AY$10:AY$172,"MISSING",0)</f>
        <v>0</v>
      </c>
      <c r="Q8" s="502" t="s">
        <v>326</v>
      </c>
      <c r="R8" s="472">
        <f t="shared" si="2"/>
        <v>0</v>
      </c>
      <c r="S8" s="472">
        <f t="shared" si="3"/>
        <v>0</v>
      </c>
      <c r="T8" s="526" t="e">
        <f t="shared" si="4"/>
        <v>#DIV/0!</v>
      </c>
      <c r="U8" s="472">
        <f t="shared" ca="1" si="5"/>
        <v>0</v>
      </c>
      <c r="V8" s="472">
        <f t="shared" ca="1" si="6"/>
        <v>0</v>
      </c>
      <c r="W8" s="472">
        <f t="shared" ca="1" si="7"/>
        <v>0</v>
      </c>
      <c r="X8" s="472">
        <f t="shared" ca="1" si="8"/>
        <v>0</v>
      </c>
    </row>
    <row r="9" spans="1:24" x14ac:dyDescent="0.2">
      <c r="A9" s="502">
        <f>'Base Information Sheet'!$B$5</f>
        <v>0</v>
      </c>
      <c r="B9" s="502" t="str">
        <f>_xlfn.XLOOKUP($F9,'Physical Condition Assessment'!$U$10:$U$172,'Physical Condition Assessment'!A$10:A$172,"MISSING",0)</f>
        <v>C    INTERIORS</v>
      </c>
      <c r="C9" s="502" t="str">
        <f>_xlfn.XLOOKUP($F9,'Physical Condition Assessment'!$U$10:$U$172,'Physical Condition Assessment'!B$10:B$172,"MISSING",0)</f>
        <v>C10 Interior Construction</v>
      </c>
      <c r="D9" s="502" t="str">
        <f>_xlfn.XLOOKUP($F9,'Physical Condition Assessment'!$U$10:$U$172,'Physical Condition Assessment'!C$10:C$172,"MISSING",0)</f>
        <v>C1020 Interior Doors</v>
      </c>
      <c r="E9" s="502" t="str">
        <f>_xlfn.XLOOKUP($F9,'Physical Condition Assessment'!$U$10:$U$172,'Physical Condition Assessment'!D$10:D$172,"MISSING",0)</f>
        <v xml:space="preserve">Rollup Metal </v>
      </c>
      <c r="F9" s="502" t="s">
        <v>170</v>
      </c>
      <c r="G9" s="502" t="str">
        <f>_xlfn.XLOOKUP($F9,'Physical Condition Assessment'!$U$10:$U$172,'Physical Condition Assessment'!V$10:V$172,"MISSING",0)</f>
        <v>Doors</v>
      </c>
      <c r="H9" s="471">
        <f>_xlfn.XLOOKUP($F9,'Physical Condition Assessment'!$U$10:$U$172,'Physical Condition Assessment'!S$10:S$172,"MISSING",0)</f>
        <v>0</v>
      </c>
      <c r="I9" s="471">
        <f>_xlfn.XLOOKUP($F9,'Physical Condition Assessment'!$U$10:$U$172,'Physical Condition Assessment'!AP$10:AP$172,"MISSING",0)</f>
        <v>0</v>
      </c>
      <c r="J9" s="525" t="e">
        <f t="shared" si="1"/>
        <v>#DIV/0!</v>
      </c>
      <c r="K9" s="471">
        <f ca="1">_xlfn.XLOOKUP($F9,'Physical Condition Assessment'!$U$10:$U$172,'Physical Condition Assessment'!AV$10:AV$172,"MISSING",0)</f>
        <v>0</v>
      </c>
      <c r="L9" s="471">
        <f ca="1">_xlfn.XLOOKUP($F9,'Physical Condition Assessment'!$U$10:$U$172,'Physical Condition Assessment'!AW$10:AW$172,"MISSING",0)</f>
        <v>0</v>
      </c>
      <c r="M9" s="471">
        <f ca="1">_xlfn.XLOOKUP($F9,'Physical Condition Assessment'!$U$10:$U$172,'Physical Condition Assessment'!AX$10:AX$172,"MISSING",0)</f>
        <v>0</v>
      </c>
      <c r="N9" s="471">
        <f ca="1">_xlfn.XLOOKUP($F9,'Physical Condition Assessment'!$U$10:$U$172,'Physical Condition Assessment'!AY$10:AY$172,"MISSING",0)</f>
        <v>0</v>
      </c>
      <c r="Q9" s="502" t="s">
        <v>248</v>
      </c>
      <c r="R9" s="472">
        <f t="shared" si="2"/>
        <v>0</v>
      </c>
      <c r="S9" s="472">
        <f t="shared" si="3"/>
        <v>0</v>
      </c>
      <c r="T9" s="526" t="e">
        <f t="shared" si="4"/>
        <v>#DIV/0!</v>
      </c>
      <c r="U9" s="472">
        <f t="shared" ca="1" si="5"/>
        <v>0</v>
      </c>
      <c r="V9" s="472">
        <f t="shared" ca="1" si="6"/>
        <v>0</v>
      </c>
      <c r="W9" s="472">
        <f t="shared" ca="1" si="7"/>
        <v>0</v>
      </c>
      <c r="X9" s="472">
        <f t="shared" ca="1" si="8"/>
        <v>0</v>
      </c>
    </row>
    <row r="10" spans="1:24" x14ac:dyDescent="0.2">
      <c r="A10" s="502">
        <f>'Base Information Sheet'!$B$5</f>
        <v>0</v>
      </c>
      <c r="B10" s="502" t="str">
        <f>_xlfn.XLOOKUP($F10,'Physical Condition Assessment'!$U$10:$U$172,'Physical Condition Assessment'!A$10:A$172,"MISSING",0)</f>
        <v>C    INTERIORS</v>
      </c>
      <c r="C10" s="502" t="str">
        <f>_xlfn.XLOOKUP($F10,'Physical Condition Assessment'!$U$10:$U$172,'Physical Condition Assessment'!B$10:B$172,"MISSING",0)</f>
        <v>C10 Interior Construction</v>
      </c>
      <c r="D10" s="502" t="str">
        <f>_xlfn.XLOOKUP($F10,'Physical Condition Assessment'!$U$10:$U$172,'Physical Condition Assessment'!C$10:C$172,"MISSING",0)</f>
        <v>C1020 Interior Doors</v>
      </c>
      <c r="E10" s="502" t="str">
        <f>_xlfn.XLOOKUP($F10,'Physical Condition Assessment'!$U$10:$U$172,'Physical Condition Assessment'!D$10:D$172,"MISSING",0)</f>
        <v>Storefront</v>
      </c>
      <c r="F10" s="502" t="s">
        <v>168</v>
      </c>
      <c r="G10" s="502" t="str">
        <f>_xlfn.XLOOKUP($F10,'Physical Condition Assessment'!$U$10:$U$172,'Physical Condition Assessment'!V$10:V$172,"MISSING",0)</f>
        <v>Doors</v>
      </c>
      <c r="H10" s="471">
        <f>_xlfn.XLOOKUP($F10,'Physical Condition Assessment'!$U$10:$U$172,'Physical Condition Assessment'!S$10:S$172,"MISSING",0)</f>
        <v>0</v>
      </c>
      <c r="I10" s="471">
        <f>_xlfn.XLOOKUP($F10,'Physical Condition Assessment'!$U$10:$U$172,'Physical Condition Assessment'!AP$10:AP$172,"MISSING",0)</f>
        <v>0</v>
      </c>
      <c r="J10" s="525" t="e">
        <f t="shared" si="1"/>
        <v>#DIV/0!</v>
      </c>
      <c r="K10" s="471">
        <f ca="1">_xlfn.XLOOKUP($F10,'Physical Condition Assessment'!$U$10:$U$172,'Physical Condition Assessment'!AV$10:AV$172,"MISSING",0)</f>
        <v>0</v>
      </c>
      <c r="L10" s="471">
        <f ca="1">_xlfn.XLOOKUP($F10,'Physical Condition Assessment'!$U$10:$U$172,'Physical Condition Assessment'!AW$10:AW$172,"MISSING",0)</f>
        <v>0</v>
      </c>
      <c r="M10" s="471">
        <f ca="1">_xlfn.XLOOKUP($F10,'Physical Condition Assessment'!$U$10:$U$172,'Physical Condition Assessment'!AX$10:AX$172,"MISSING",0)</f>
        <v>0</v>
      </c>
      <c r="N10" s="471">
        <f ca="1">_xlfn.XLOOKUP($F10,'Physical Condition Assessment'!$U$10:$U$172,'Physical Condition Assessment'!AY$10:AY$172,"MISSING",0)</f>
        <v>0</v>
      </c>
      <c r="Q10" s="502" t="s">
        <v>85</v>
      </c>
      <c r="R10" s="472">
        <f t="shared" si="2"/>
        <v>0</v>
      </c>
      <c r="S10" s="472">
        <f t="shared" si="3"/>
        <v>0</v>
      </c>
      <c r="T10" s="526" t="e">
        <f t="shared" si="4"/>
        <v>#DIV/0!</v>
      </c>
      <c r="U10" s="472">
        <f t="shared" ca="1" si="5"/>
        <v>0</v>
      </c>
      <c r="V10" s="472">
        <f t="shared" ca="1" si="6"/>
        <v>0</v>
      </c>
      <c r="W10" s="472">
        <f t="shared" ca="1" si="7"/>
        <v>0</v>
      </c>
      <c r="X10" s="472">
        <f t="shared" ca="1" si="8"/>
        <v>0</v>
      </c>
    </row>
    <row r="11" spans="1:24" x14ac:dyDescent="0.2">
      <c r="A11" s="502">
        <f>'Base Information Sheet'!$B$5</f>
        <v>0</v>
      </c>
      <c r="B11" s="502" t="str">
        <f>_xlfn.XLOOKUP($F11,'Physical Condition Assessment'!$U$10:$U$172,'Physical Condition Assessment'!A$10:A$172,"MISSING",0)</f>
        <v>C    INTERIORS</v>
      </c>
      <c r="C11" s="502" t="str">
        <f>_xlfn.XLOOKUP($F11,'Physical Condition Assessment'!$U$10:$U$172,'Physical Condition Assessment'!B$10:B$172,"MISSING",0)</f>
        <v>C10 Interior Construction</v>
      </c>
      <c r="D11" s="502" t="str">
        <f>_xlfn.XLOOKUP($F11,'Physical Condition Assessment'!$U$10:$U$172,'Physical Condition Assessment'!C$10:C$172,"MISSING",0)</f>
        <v>C1020 Interior Doors</v>
      </c>
      <c r="E11" s="502" t="str">
        <f>_xlfn.XLOOKUP($F11,'Physical Condition Assessment'!$U$10:$U$172,'Physical Condition Assessment'!D$10:D$172,"MISSING",0)</f>
        <v>Wood</v>
      </c>
      <c r="F11" s="502" t="s">
        <v>166</v>
      </c>
      <c r="G11" s="502" t="str">
        <f>_xlfn.XLOOKUP($F11,'Physical Condition Assessment'!$U$10:$U$172,'Physical Condition Assessment'!V$10:V$172,"MISSING",0)</f>
        <v>Doors</v>
      </c>
      <c r="H11" s="471">
        <f>_xlfn.XLOOKUP($F11,'Physical Condition Assessment'!$U$10:$U$172,'Physical Condition Assessment'!S$10:S$172,"MISSING",0)</f>
        <v>0</v>
      </c>
      <c r="I11" s="471">
        <f>_xlfn.XLOOKUP($F11,'Physical Condition Assessment'!$U$10:$U$172,'Physical Condition Assessment'!AP$10:AP$172,"MISSING",0)</f>
        <v>0</v>
      </c>
      <c r="J11" s="525" t="e">
        <f t="shared" si="1"/>
        <v>#DIV/0!</v>
      </c>
      <c r="K11" s="471">
        <f ca="1">_xlfn.XLOOKUP($F11,'Physical Condition Assessment'!$U$10:$U$172,'Physical Condition Assessment'!AV$10:AV$172,"MISSING",0)</f>
        <v>0</v>
      </c>
      <c r="L11" s="471">
        <f ca="1">_xlfn.XLOOKUP($F11,'Physical Condition Assessment'!$U$10:$U$172,'Physical Condition Assessment'!AW$10:AW$172,"MISSING",0)</f>
        <v>0</v>
      </c>
      <c r="M11" s="471">
        <f ca="1">_xlfn.XLOOKUP($F11,'Physical Condition Assessment'!$U$10:$U$172,'Physical Condition Assessment'!AX$10:AX$172,"MISSING",0)</f>
        <v>0</v>
      </c>
      <c r="N11" s="471">
        <f ca="1">_xlfn.XLOOKUP($F11,'Physical Condition Assessment'!$U$10:$U$172,'Physical Condition Assessment'!AY$10:AY$172,"MISSING",0)</f>
        <v>0</v>
      </c>
      <c r="Q11" s="502" t="s">
        <v>351</v>
      </c>
      <c r="R11" s="472">
        <f t="shared" si="2"/>
        <v>0</v>
      </c>
      <c r="S11" s="472">
        <f t="shared" si="3"/>
        <v>0</v>
      </c>
      <c r="T11" s="526" t="e">
        <f t="shared" si="4"/>
        <v>#DIV/0!</v>
      </c>
      <c r="U11" s="472">
        <f t="shared" ca="1" si="5"/>
        <v>0</v>
      </c>
      <c r="V11" s="472">
        <f t="shared" ca="1" si="6"/>
        <v>0</v>
      </c>
      <c r="W11" s="472">
        <f t="shared" ca="1" si="7"/>
        <v>0</v>
      </c>
      <c r="X11" s="472">
        <f t="shared" ca="1" si="8"/>
        <v>0</v>
      </c>
    </row>
    <row r="12" spans="1:24" x14ac:dyDescent="0.2">
      <c r="A12" s="502">
        <f>'Base Information Sheet'!$B$5</f>
        <v>0</v>
      </c>
      <c r="B12" s="502" t="str">
        <f>_xlfn.XLOOKUP($F12,'Physical Condition Assessment'!$U$10:$U$172,'Physical Condition Assessment'!A$10:A$172,"MISSING",0)</f>
        <v>D    SERVICES</v>
      </c>
      <c r="C12" s="502" t="str">
        <f>_xlfn.XLOOKUP($F12,'Physical Condition Assessment'!$U$10:$U$172,'Physical Condition Assessment'!B$10:B$172,"MISSING",0)</f>
        <v>D50 Electrical</v>
      </c>
      <c r="D12" s="502" t="str">
        <f>_xlfn.XLOOKUP($F12,'Physical Condition Assessment'!$U$10:$U$172,'Physical Condition Assessment'!C$10:C$172,"MISSING",0)</f>
        <v>D5010 Electrical Service &amp; Distribution</v>
      </c>
      <c r="E12" s="502">
        <f>_xlfn.XLOOKUP($F12,'Physical Condition Assessment'!$U$10:$U$172,'Physical Condition Assessment'!D$10:D$172,"MISSING",0)</f>
        <v>0</v>
      </c>
      <c r="F12" s="502" t="s">
        <v>301</v>
      </c>
      <c r="G12" s="502" t="str">
        <f>_xlfn.XLOOKUP($F12,'Physical Condition Assessment'!$U$10:$U$172,'Physical Condition Assessment'!V$10:V$172,"MISSING",0)</f>
        <v>Electrical</v>
      </c>
      <c r="H12" s="471">
        <f>_xlfn.XLOOKUP($F12,'Physical Condition Assessment'!$U$10:$U$172,'Physical Condition Assessment'!S$10:S$172,"MISSING",0)</f>
        <v>0</v>
      </c>
      <c r="I12" s="471">
        <f>_xlfn.XLOOKUP($F12,'Physical Condition Assessment'!$U$10:$U$172,'Physical Condition Assessment'!AP$10:AP$172,"MISSING",0)</f>
        <v>0</v>
      </c>
      <c r="J12" s="525" t="e">
        <f t="shared" si="1"/>
        <v>#DIV/0!</v>
      </c>
      <c r="K12" s="471">
        <f ca="1">_xlfn.XLOOKUP($F12,'Physical Condition Assessment'!$U$10:$U$172,'Physical Condition Assessment'!AV$10:AV$172,"MISSING",0)</f>
        <v>0</v>
      </c>
      <c r="L12" s="471">
        <f ca="1">_xlfn.XLOOKUP($F12,'Physical Condition Assessment'!$U$10:$U$172,'Physical Condition Assessment'!AW$10:AW$172,"MISSING",0)</f>
        <v>0</v>
      </c>
      <c r="M12" s="471">
        <f ca="1">_xlfn.XLOOKUP($F12,'Physical Condition Assessment'!$U$10:$U$172,'Physical Condition Assessment'!AX$10:AX$172,"MISSING",0)</f>
        <v>0</v>
      </c>
      <c r="N12" s="471">
        <f ca="1">_xlfn.XLOOKUP($F12,'Physical Condition Assessment'!$U$10:$U$172,'Physical Condition Assessment'!AY$10:AY$172,"MISSING",0)</f>
        <v>0</v>
      </c>
      <c r="Q12" s="502" t="s">
        <v>240</v>
      </c>
      <c r="R12" s="472">
        <f t="shared" si="2"/>
        <v>0</v>
      </c>
      <c r="S12" s="472">
        <f t="shared" si="3"/>
        <v>0</v>
      </c>
      <c r="T12" s="526" t="e">
        <f t="shared" si="4"/>
        <v>#DIV/0!</v>
      </c>
      <c r="U12" s="472">
        <f t="shared" ca="1" si="5"/>
        <v>0</v>
      </c>
      <c r="V12" s="472">
        <f t="shared" ca="1" si="6"/>
        <v>0</v>
      </c>
      <c r="W12" s="472">
        <f t="shared" ca="1" si="7"/>
        <v>0</v>
      </c>
      <c r="X12" s="472">
        <f t="shared" ca="1" si="8"/>
        <v>0</v>
      </c>
    </row>
    <row r="13" spans="1:24" x14ac:dyDescent="0.2">
      <c r="A13" s="502">
        <f>'Base Information Sheet'!$B$5</f>
        <v>0</v>
      </c>
      <c r="B13" s="502" t="str">
        <f>_xlfn.XLOOKUP($F13,'Physical Condition Assessment'!$U$10:$U$172,'Physical Condition Assessment'!A$10:A$172,"MISSING",0)</f>
        <v>D    SERVICES</v>
      </c>
      <c r="C13" s="502" t="str">
        <f>_xlfn.XLOOKUP($F13,'Physical Condition Assessment'!$U$10:$U$172,'Physical Condition Assessment'!B$10:B$172,"MISSING",0)</f>
        <v>D50 Electrical</v>
      </c>
      <c r="D13" s="502" t="str">
        <f>_xlfn.XLOOKUP($F13,'Physical Condition Assessment'!$U$10:$U$172,'Physical Condition Assessment'!C$10:C$172,"MISSING",0)</f>
        <v>D5020 Lighting and Branch Wiring</v>
      </c>
      <c r="E13" s="502">
        <f>_xlfn.XLOOKUP($F13,'Physical Condition Assessment'!$U$10:$U$172,'Physical Condition Assessment'!D$10:D$172,"MISSING",0)</f>
        <v>0</v>
      </c>
      <c r="F13" s="502" t="s">
        <v>304</v>
      </c>
      <c r="G13" s="502" t="str">
        <f>_xlfn.XLOOKUP($F13,'Physical Condition Assessment'!$U$10:$U$172,'Physical Condition Assessment'!V$10:V$172,"MISSING",0)</f>
        <v>Electrical</v>
      </c>
      <c r="H13" s="471">
        <f>_xlfn.XLOOKUP($F13,'Physical Condition Assessment'!$U$10:$U$172,'Physical Condition Assessment'!S$10:S$172,"MISSING",0)</f>
        <v>0</v>
      </c>
      <c r="I13" s="471">
        <f>_xlfn.XLOOKUP($F13,'Physical Condition Assessment'!$U$10:$U$172,'Physical Condition Assessment'!AP$10:AP$172,"MISSING",0)</f>
        <v>0</v>
      </c>
      <c r="J13" s="525" t="e">
        <f t="shared" si="1"/>
        <v>#DIV/0!</v>
      </c>
      <c r="K13" s="471">
        <f ca="1">_xlfn.XLOOKUP($F13,'Physical Condition Assessment'!$U$10:$U$172,'Physical Condition Assessment'!AV$10:AV$172,"MISSING",0)</f>
        <v>0</v>
      </c>
      <c r="L13" s="471">
        <f ca="1">_xlfn.XLOOKUP($F13,'Physical Condition Assessment'!$U$10:$U$172,'Physical Condition Assessment'!AW$10:AW$172,"MISSING",0)</f>
        <v>0</v>
      </c>
      <c r="M13" s="471">
        <f ca="1">_xlfn.XLOOKUP($F13,'Physical Condition Assessment'!$U$10:$U$172,'Physical Condition Assessment'!AX$10:AX$172,"MISSING",0)</f>
        <v>0</v>
      </c>
      <c r="N13" s="471">
        <f ca="1">_xlfn.XLOOKUP($F13,'Physical Condition Assessment'!$U$10:$U$172,'Physical Condition Assessment'!AY$10:AY$172,"MISSING",0)</f>
        <v>0</v>
      </c>
      <c r="Q13" s="502" t="s">
        <v>93</v>
      </c>
      <c r="R13" s="472">
        <f t="shared" si="2"/>
        <v>0</v>
      </c>
      <c r="S13" s="472">
        <f t="shared" si="3"/>
        <v>0</v>
      </c>
      <c r="T13" s="526" t="e">
        <f t="shared" si="4"/>
        <v>#DIV/0!</v>
      </c>
      <c r="U13" s="472">
        <f t="shared" ca="1" si="5"/>
        <v>0</v>
      </c>
      <c r="V13" s="472">
        <f t="shared" ca="1" si="6"/>
        <v>0</v>
      </c>
      <c r="W13" s="472">
        <f t="shared" ca="1" si="7"/>
        <v>0</v>
      </c>
      <c r="X13" s="472">
        <f t="shared" ca="1" si="8"/>
        <v>0</v>
      </c>
    </row>
    <row r="14" spans="1:24" x14ac:dyDescent="0.2">
      <c r="A14" s="502">
        <f>'Base Information Sheet'!$B$5</f>
        <v>0</v>
      </c>
      <c r="B14" s="502" t="str">
        <f>_xlfn.XLOOKUP($F14,'Physical Condition Assessment'!$U$10:$U$172,'Physical Condition Assessment'!A$10:A$172,"MISSING",0)</f>
        <v>G  BUILDING SITE WORK</v>
      </c>
      <c r="C14" s="502" t="str">
        <f>_xlfn.XLOOKUP($F14,'Physical Condition Assessment'!$U$10:$U$172,'Physical Condition Assessment'!B$10:B$172,"MISSING",0)</f>
        <v>G40 Site Electrical Utilities</v>
      </c>
      <c r="D14" s="502" t="str">
        <f>_xlfn.XLOOKUP($F14,'Physical Condition Assessment'!$U$10:$U$172,'Physical Condition Assessment'!C$10:C$172,"MISSING",0)</f>
        <v>G4010 Electrical Distribution</v>
      </c>
      <c r="E14" s="502" t="str">
        <f>_xlfn.XLOOKUP($F14,'Physical Condition Assessment'!$U$10:$U$172,'Physical Condition Assessment'!D$10:D$172,"MISSING",0)</f>
        <v>Generator</v>
      </c>
      <c r="F14" s="502" t="s">
        <v>383</v>
      </c>
      <c r="G14" s="502" t="str">
        <f>_xlfn.XLOOKUP($F14,'Physical Condition Assessment'!$U$10:$U$172,'Physical Condition Assessment'!V$10:V$172,"MISSING",0)</f>
        <v>Electrical</v>
      </c>
      <c r="H14" s="471">
        <f>_xlfn.XLOOKUP($F14,'Physical Condition Assessment'!$U$10:$U$172,'Physical Condition Assessment'!S$10:S$172,"MISSING",0)</f>
        <v>0</v>
      </c>
      <c r="I14" s="471">
        <f>_xlfn.XLOOKUP($F14,'Physical Condition Assessment'!$U$10:$U$172,'Physical Condition Assessment'!AP$10:AP$172,"MISSING",0)</f>
        <v>0</v>
      </c>
      <c r="J14" s="525" t="e">
        <f t="shared" si="1"/>
        <v>#DIV/0!</v>
      </c>
      <c r="K14" s="471">
        <f ca="1">_xlfn.XLOOKUP($F14,'Physical Condition Assessment'!$U$10:$U$172,'Physical Condition Assessment'!AV$10:AV$172,"MISSING",0)</f>
        <v>0</v>
      </c>
      <c r="L14" s="471">
        <f ca="1">_xlfn.XLOOKUP($F14,'Physical Condition Assessment'!$U$10:$U$172,'Physical Condition Assessment'!AW$10:AW$172,"MISSING",0)</f>
        <v>0</v>
      </c>
      <c r="M14" s="471">
        <f ca="1">_xlfn.XLOOKUP($F14,'Physical Condition Assessment'!$U$10:$U$172,'Physical Condition Assessment'!AX$10:AX$172,"MISSING",0)</f>
        <v>0</v>
      </c>
      <c r="N14" s="471">
        <f ca="1">_xlfn.XLOOKUP($F14,'Physical Condition Assessment'!$U$10:$U$172,'Physical Condition Assessment'!AY$10:AY$172,"MISSING",0)</f>
        <v>0</v>
      </c>
      <c r="Q14" s="502" t="s">
        <v>293</v>
      </c>
      <c r="R14" s="472">
        <f t="shared" si="2"/>
        <v>0</v>
      </c>
      <c r="S14" s="472">
        <f t="shared" si="3"/>
        <v>0</v>
      </c>
      <c r="T14" s="526" t="e">
        <f t="shared" si="4"/>
        <v>#DIV/0!</v>
      </c>
      <c r="U14" s="472">
        <f t="shared" ca="1" si="5"/>
        <v>0</v>
      </c>
      <c r="V14" s="472">
        <f t="shared" ca="1" si="6"/>
        <v>0</v>
      </c>
      <c r="W14" s="472">
        <f t="shared" ca="1" si="7"/>
        <v>0</v>
      </c>
      <c r="X14" s="472">
        <f t="shared" ca="1" si="8"/>
        <v>0</v>
      </c>
    </row>
    <row r="15" spans="1:24" x14ac:dyDescent="0.2">
      <c r="A15" s="502">
        <f>'Base Information Sheet'!$B$5</f>
        <v>0</v>
      </c>
      <c r="B15" s="502" t="str">
        <f>_xlfn.XLOOKUP($F15,'Physical Condition Assessment'!$U$10:$U$172,'Physical Condition Assessment'!A$10:A$172,"MISSING",0)</f>
        <v>G  BUILDING SITE WORK</v>
      </c>
      <c r="C15" s="502" t="str">
        <f>_xlfn.XLOOKUP($F15,'Physical Condition Assessment'!$U$10:$U$172,'Physical Condition Assessment'!B$10:B$172,"MISSING",0)</f>
        <v>G40 Site Electrical Utilities</v>
      </c>
      <c r="D15" s="502" t="str">
        <f>_xlfn.XLOOKUP($F15,'Physical Condition Assessment'!$U$10:$U$172,'Physical Condition Assessment'!C$10:C$172,"MISSING",0)</f>
        <v>G4010 Electrical Distribution</v>
      </c>
      <c r="E15" s="502" t="str">
        <f>_xlfn.XLOOKUP($F15,'Physical Condition Assessment'!$U$10:$U$172,'Physical Condition Assessment'!D$10:D$172,"MISSING",0)</f>
        <v>Service</v>
      </c>
      <c r="F15" s="502" t="s">
        <v>381</v>
      </c>
      <c r="G15" s="502" t="str">
        <f>_xlfn.XLOOKUP($F15,'Physical Condition Assessment'!$U$10:$U$172,'Physical Condition Assessment'!V$10:V$172,"MISSING",0)</f>
        <v>Electrical</v>
      </c>
      <c r="H15" s="471">
        <f>_xlfn.XLOOKUP($F15,'Physical Condition Assessment'!$U$10:$U$172,'Physical Condition Assessment'!S$10:S$172,"MISSING",0)</f>
        <v>0</v>
      </c>
      <c r="I15" s="471">
        <f>_xlfn.XLOOKUP($F15,'Physical Condition Assessment'!$U$10:$U$172,'Physical Condition Assessment'!AP$10:AP$172,"MISSING",0)</f>
        <v>0</v>
      </c>
      <c r="J15" s="525" t="e">
        <f t="shared" si="1"/>
        <v>#DIV/0!</v>
      </c>
      <c r="K15" s="471">
        <f ca="1">_xlfn.XLOOKUP($F15,'Physical Condition Assessment'!$U$10:$U$172,'Physical Condition Assessment'!AV$10:AV$172,"MISSING",0)</f>
        <v>0</v>
      </c>
      <c r="L15" s="471">
        <f ca="1">_xlfn.XLOOKUP($F15,'Physical Condition Assessment'!$U$10:$U$172,'Physical Condition Assessment'!AW$10:AW$172,"MISSING",0)</f>
        <v>0</v>
      </c>
      <c r="M15" s="471">
        <f ca="1">_xlfn.XLOOKUP($F15,'Physical Condition Assessment'!$U$10:$U$172,'Physical Condition Assessment'!AX$10:AX$172,"MISSING",0)</f>
        <v>0</v>
      </c>
      <c r="N15" s="471">
        <f ca="1">_xlfn.XLOOKUP($F15,'Physical Condition Assessment'!$U$10:$U$172,'Physical Condition Assessment'!AY$10:AY$172,"MISSING",0)</f>
        <v>0</v>
      </c>
      <c r="Q15" s="502" t="s">
        <v>358</v>
      </c>
      <c r="R15" s="472">
        <f t="shared" si="2"/>
        <v>0</v>
      </c>
      <c r="S15" s="472">
        <f t="shared" si="3"/>
        <v>0</v>
      </c>
      <c r="T15" s="526" t="e">
        <f t="shared" si="4"/>
        <v>#DIV/0!</v>
      </c>
      <c r="U15" s="472">
        <f t="shared" ca="1" si="5"/>
        <v>0</v>
      </c>
      <c r="V15" s="472">
        <f t="shared" ca="1" si="6"/>
        <v>0</v>
      </c>
      <c r="W15" s="472">
        <f t="shared" ca="1" si="7"/>
        <v>0</v>
      </c>
      <c r="X15" s="472">
        <f t="shared" ca="1" si="8"/>
        <v>0</v>
      </c>
    </row>
    <row r="16" spans="1:24" x14ac:dyDescent="0.2">
      <c r="A16" s="502">
        <f>'Base Information Sheet'!$B$5</f>
        <v>0</v>
      </c>
      <c r="B16" s="502" t="str">
        <f>_xlfn.XLOOKUP($F16,'Physical Condition Assessment'!$U$10:$U$172,'Physical Condition Assessment'!A$10:A$172,"MISSING",0)</f>
        <v>G  BUILDING SITE WORK</v>
      </c>
      <c r="C16" s="502" t="str">
        <f>_xlfn.XLOOKUP($F16,'Physical Condition Assessment'!$U$10:$U$172,'Physical Condition Assessment'!B$10:B$172,"MISSING",0)</f>
        <v>G40 Site Electrical Utilities</v>
      </c>
      <c r="D16" s="502" t="str">
        <f>_xlfn.XLOOKUP($F16,'Physical Condition Assessment'!$U$10:$U$172,'Physical Condition Assessment'!C$10:C$172,"MISSING",0)</f>
        <v>G4020 Site Lighting</v>
      </c>
      <c r="E16" s="502">
        <f>_xlfn.XLOOKUP($F16,'Physical Condition Assessment'!$U$10:$U$172,'Physical Condition Assessment'!D$10:D$172,"MISSING",0)</f>
        <v>0</v>
      </c>
      <c r="F16" s="502" t="s">
        <v>385</v>
      </c>
      <c r="G16" s="502" t="str">
        <f>_xlfn.XLOOKUP($F16,'Physical Condition Assessment'!$U$10:$U$172,'Physical Condition Assessment'!V$10:V$172,"MISSING",0)</f>
        <v>Electrical</v>
      </c>
      <c r="H16" s="471">
        <f>_xlfn.XLOOKUP($F16,'Physical Condition Assessment'!$U$10:$U$172,'Physical Condition Assessment'!S$10:S$172,"MISSING",0)</f>
        <v>0</v>
      </c>
      <c r="I16" s="471">
        <f>_xlfn.XLOOKUP($F16,'Physical Condition Assessment'!$U$10:$U$172,'Physical Condition Assessment'!AP$10:AP$172,"MISSING",0)</f>
        <v>0</v>
      </c>
      <c r="J16" s="525" t="e">
        <f t="shared" si="1"/>
        <v>#DIV/0!</v>
      </c>
      <c r="K16" s="471">
        <f ca="1">_xlfn.XLOOKUP($F16,'Physical Condition Assessment'!$U$10:$U$172,'Physical Condition Assessment'!AV$10:AV$172,"MISSING",0)</f>
        <v>0</v>
      </c>
      <c r="L16" s="471">
        <f ca="1">_xlfn.XLOOKUP($F16,'Physical Condition Assessment'!$U$10:$U$172,'Physical Condition Assessment'!AW$10:AW$172,"MISSING",0)</f>
        <v>0</v>
      </c>
      <c r="M16" s="471">
        <f ca="1">_xlfn.XLOOKUP($F16,'Physical Condition Assessment'!$U$10:$U$172,'Physical Condition Assessment'!AX$10:AX$172,"MISSING",0)</f>
        <v>0</v>
      </c>
      <c r="N16" s="471">
        <f ca="1">_xlfn.XLOOKUP($F16,'Physical Condition Assessment'!$U$10:$U$172,'Physical Condition Assessment'!AY$10:AY$172,"MISSING",0)</f>
        <v>0</v>
      </c>
      <c r="Q16" s="597"/>
      <c r="R16" s="596">
        <f>SUM(R2:R15)</f>
        <v>0</v>
      </c>
      <c r="S16" s="596">
        <f>SUM(S2:S15)</f>
        <v>0</v>
      </c>
      <c r="T16" s="598" t="e">
        <f t="shared" si="4"/>
        <v>#DIV/0!</v>
      </c>
      <c r="U16" s="596">
        <f t="shared" ref="U16:X16" ca="1" si="9">SUM(U2:U15)</f>
        <v>0</v>
      </c>
      <c r="V16" s="596">
        <f t="shared" ca="1" si="9"/>
        <v>0</v>
      </c>
      <c r="W16" s="596">
        <f t="shared" ca="1" si="9"/>
        <v>0</v>
      </c>
      <c r="X16" s="596">
        <f t="shared" ca="1" si="9"/>
        <v>0</v>
      </c>
    </row>
    <row r="17" spans="1:23" x14ac:dyDescent="0.2">
      <c r="A17" s="502">
        <f>'Base Information Sheet'!$B$5</f>
        <v>0</v>
      </c>
      <c r="B17" s="502" t="str">
        <f>_xlfn.XLOOKUP($F17,'Physical Condition Assessment'!$U$10:$U$172,'Physical Condition Assessment'!A$10:A$172,"MISSING",0)</f>
        <v>B    SHELL</v>
      </c>
      <c r="C17" s="502" t="str">
        <f>_xlfn.XLOOKUP($F17,'Physical Condition Assessment'!$U$10:$U$172,'Physical Condition Assessment'!B$10:B$172,"MISSING",0)</f>
        <v>B20 Exterior Enclosure</v>
      </c>
      <c r="D17" s="502" t="str">
        <f>_xlfn.XLOOKUP($F17,'Physical Condition Assessment'!$U$10:$U$172,'Physical Condition Assessment'!C$10:C$172,"MISSING",0)</f>
        <v>B2010 Exterior Walls</v>
      </c>
      <c r="E17" s="502" t="str">
        <f>_xlfn.XLOOKUP($F17,'Physical Condition Assessment'!$U$10:$U$172,'Physical Condition Assessment'!D$10:D$172,"MISSING",0)</f>
        <v>Concrete Formed / Tilt</v>
      </c>
      <c r="F17" s="502" t="s">
        <v>99</v>
      </c>
      <c r="G17" s="502" t="str">
        <f>_xlfn.XLOOKUP($F17,'Physical Condition Assessment'!$U$10:$U$172,'Physical Condition Assessment'!V$10:V$172,"MISSING",0)</f>
        <v>Exterior Structure</v>
      </c>
      <c r="H17" s="471">
        <f>_xlfn.XLOOKUP($F17,'Physical Condition Assessment'!$U$10:$U$172,'Physical Condition Assessment'!S$10:S$172,"MISSING",0)</f>
        <v>0</v>
      </c>
      <c r="I17" s="471">
        <f>_xlfn.XLOOKUP($F17,'Physical Condition Assessment'!$U$10:$U$172,'Physical Condition Assessment'!AP$10:AP$172,"MISSING",0)</f>
        <v>0</v>
      </c>
      <c r="J17" s="525" t="e">
        <f t="shared" si="1"/>
        <v>#DIV/0!</v>
      </c>
      <c r="K17" s="471">
        <f ca="1">_xlfn.XLOOKUP($F17,'Physical Condition Assessment'!$U$10:$U$172,'Physical Condition Assessment'!AV$10:AV$172,"MISSING",0)</f>
        <v>0</v>
      </c>
      <c r="L17" s="471">
        <f ca="1">_xlfn.XLOOKUP($F17,'Physical Condition Assessment'!$U$10:$U$172,'Physical Condition Assessment'!AW$10:AW$172,"MISSING",0)</f>
        <v>0</v>
      </c>
      <c r="M17" s="471">
        <f ca="1">_xlfn.XLOOKUP($F17,'Physical Condition Assessment'!$U$10:$U$172,'Physical Condition Assessment'!AX$10:AX$172,"MISSING",0)</f>
        <v>0</v>
      </c>
      <c r="N17" s="471">
        <f ca="1">_xlfn.XLOOKUP($F17,'Physical Condition Assessment'!$U$10:$U$172,'Physical Condition Assessment'!AY$10:AY$172,"MISSING",0)</f>
        <v>0</v>
      </c>
      <c r="T17" s="526"/>
    </row>
    <row r="18" spans="1:23" x14ac:dyDescent="0.2">
      <c r="A18" s="502">
        <f>'Base Information Sheet'!$B$5</f>
        <v>0</v>
      </c>
      <c r="B18" s="502" t="str">
        <f>_xlfn.XLOOKUP($F18,'Physical Condition Assessment'!$U$10:$U$172,'Physical Condition Assessment'!A$10:A$172,"MISSING",0)</f>
        <v>B    SHELL</v>
      </c>
      <c r="C18" s="502" t="str">
        <f>_xlfn.XLOOKUP($F18,'Physical Condition Assessment'!$U$10:$U$172,'Physical Condition Assessment'!B$10:B$172,"MISSING",0)</f>
        <v>B20 Exterior Enclosure</v>
      </c>
      <c r="D18" s="502" t="str">
        <f>_xlfn.XLOOKUP($F18,'Physical Condition Assessment'!$U$10:$U$172,'Physical Condition Assessment'!C$10:C$172,"MISSING",0)</f>
        <v>B2010 Exterior Walls</v>
      </c>
      <c r="E18" s="502" t="str">
        <f>_xlfn.XLOOKUP($F18,'Physical Condition Assessment'!$U$10:$U$172,'Physical Condition Assessment'!D$10:D$172,"MISSING",0)</f>
        <v>Framed w/ Wood Siding</v>
      </c>
      <c r="F18" s="502" t="s">
        <v>105</v>
      </c>
      <c r="G18" s="502" t="str">
        <f>_xlfn.XLOOKUP($F18,'Physical Condition Assessment'!$U$10:$U$172,'Physical Condition Assessment'!V$10:V$172,"MISSING",0)</f>
        <v>Exterior Structure</v>
      </c>
      <c r="H18" s="471">
        <f>_xlfn.XLOOKUP($F18,'Physical Condition Assessment'!$U$10:$U$172,'Physical Condition Assessment'!S$10:S$172,"MISSING",0)</f>
        <v>0</v>
      </c>
      <c r="I18" s="471">
        <f>_xlfn.XLOOKUP($F18,'Physical Condition Assessment'!$U$10:$U$172,'Physical Condition Assessment'!AP$10:AP$172,"MISSING",0)</f>
        <v>0</v>
      </c>
      <c r="J18" s="525" t="e">
        <f t="shared" si="1"/>
        <v>#DIV/0!</v>
      </c>
      <c r="K18" s="471">
        <f ca="1">_xlfn.XLOOKUP($F18,'Physical Condition Assessment'!$U$10:$U$172,'Physical Condition Assessment'!AV$10:AV$172,"MISSING",0)</f>
        <v>0</v>
      </c>
      <c r="L18" s="471">
        <f ca="1">_xlfn.XLOOKUP($F18,'Physical Condition Assessment'!$U$10:$U$172,'Physical Condition Assessment'!AW$10:AW$172,"MISSING",0)</f>
        <v>0</v>
      </c>
      <c r="M18" s="471">
        <f ca="1">_xlfn.XLOOKUP($F18,'Physical Condition Assessment'!$U$10:$U$172,'Physical Condition Assessment'!AX$10:AX$172,"MISSING",0)</f>
        <v>0</v>
      </c>
      <c r="N18" s="471">
        <f ca="1">_xlfn.XLOOKUP($F18,'Physical Condition Assessment'!$U$10:$U$172,'Physical Condition Assessment'!AY$10:AY$172,"MISSING",0)</f>
        <v>0</v>
      </c>
    </row>
    <row r="19" spans="1:23" x14ac:dyDescent="0.2">
      <c r="A19" s="502">
        <f>'Base Information Sheet'!$B$5</f>
        <v>0</v>
      </c>
      <c r="B19" s="502" t="str">
        <f>_xlfn.XLOOKUP($F19,'Physical Condition Assessment'!$U$10:$U$172,'Physical Condition Assessment'!A$10:A$172,"MISSING",0)</f>
        <v>B    SHELL</v>
      </c>
      <c r="C19" s="502" t="str">
        <f>_xlfn.XLOOKUP($F19,'Physical Condition Assessment'!$U$10:$U$172,'Physical Condition Assessment'!B$10:B$172,"MISSING",0)</f>
        <v>B20 Exterior Enclosure</v>
      </c>
      <c r="D19" s="502" t="str">
        <f>_xlfn.XLOOKUP($F19,'Physical Condition Assessment'!$U$10:$U$172,'Physical Condition Assessment'!C$10:C$172,"MISSING",0)</f>
        <v>B2010 Exterior Walls</v>
      </c>
      <c r="E19" s="502" t="str">
        <f>_xlfn.XLOOKUP($F19,'Physical Condition Assessment'!$U$10:$U$172,'Physical Condition Assessment'!D$10:D$172,"MISSING",0)</f>
        <v>Framed w/Masonry Veneer</v>
      </c>
      <c r="F19" s="502" t="s">
        <v>111</v>
      </c>
      <c r="G19" s="502" t="str">
        <f>_xlfn.XLOOKUP($F19,'Physical Condition Assessment'!$U$10:$U$172,'Physical Condition Assessment'!V$10:V$172,"MISSING",0)</f>
        <v>Exterior Structure</v>
      </c>
      <c r="H19" s="471">
        <f>_xlfn.XLOOKUP($F19,'Physical Condition Assessment'!$U$10:$U$172,'Physical Condition Assessment'!S$10:S$172,"MISSING",0)</f>
        <v>0</v>
      </c>
      <c r="I19" s="471">
        <f>_xlfn.XLOOKUP($F19,'Physical Condition Assessment'!$U$10:$U$172,'Physical Condition Assessment'!AP$10:AP$172,"MISSING",0)</f>
        <v>0</v>
      </c>
      <c r="J19" s="525" t="e">
        <f t="shared" si="1"/>
        <v>#DIV/0!</v>
      </c>
      <c r="K19" s="471">
        <f ca="1">_xlfn.XLOOKUP($F19,'Physical Condition Assessment'!$U$10:$U$172,'Physical Condition Assessment'!AV$10:AV$172,"MISSING",0)</f>
        <v>0</v>
      </c>
      <c r="L19" s="471">
        <f ca="1">_xlfn.XLOOKUP($F19,'Physical Condition Assessment'!$U$10:$U$172,'Physical Condition Assessment'!AW$10:AW$172,"MISSING",0)</f>
        <v>0</v>
      </c>
      <c r="M19" s="471">
        <f ca="1">_xlfn.XLOOKUP($F19,'Physical Condition Assessment'!$U$10:$U$172,'Physical Condition Assessment'!AX$10:AX$172,"MISSING",0)</f>
        <v>0</v>
      </c>
      <c r="N19" s="471">
        <f ca="1">_xlfn.XLOOKUP($F19,'Physical Condition Assessment'!$U$10:$U$172,'Physical Condition Assessment'!AY$10:AY$172,"MISSING",0)</f>
        <v>0</v>
      </c>
    </row>
    <row r="20" spans="1:23" x14ac:dyDescent="0.2">
      <c r="A20" s="502">
        <f>'Base Information Sheet'!$B$5</f>
        <v>0</v>
      </c>
      <c r="B20" s="502" t="str">
        <f>_xlfn.XLOOKUP($F20,'Physical Condition Assessment'!$U$10:$U$172,'Physical Condition Assessment'!A$10:A$172,"MISSING",0)</f>
        <v>B    SHELL</v>
      </c>
      <c r="C20" s="502" t="str">
        <f>_xlfn.XLOOKUP($F20,'Physical Condition Assessment'!$U$10:$U$172,'Physical Condition Assessment'!B$10:B$172,"MISSING",0)</f>
        <v>B20 Exterior Enclosure</v>
      </c>
      <c r="D20" s="502" t="str">
        <f>_xlfn.XLOOKUP($F20,'Physical Condition Assessment'!$U$10:$U$172,'Physical Condition Assessment'!C$10:C$172,"MISSING",0)</f>
        <v>B2010 Exterior Walls</v>
      </c>
      <c r="E20" s="502" t="str">
        <f>_xlfn.XLOOKUP($F20,'Physical Condition Assessment'!$U$10:$U$172,'Physical Condition Assessment'!D$10:D$172,"MISSING",0)</f>
        <v>Framed w/Metal Panel</v>
      </c>
      <c r="F20" s="502" t="s">
        <v>107</v>
      </c>
      <c r="G20" s="502" t="str">
        <f>_xlfn.XLOOKUP($F20,'Physical Condition Assessment'!$U$10:$U$172,'Physical Condition Assessment'!V$10:V$172,"MISSING",0)</f>
        <v>Exterior Structure</v>
      </c>
      <c r="H20" s="471">
        <f>_xlfn.XLOOKUP($F20,'Physical Condition Assessment'!$U$10:$U$172,'Physical Condition Assessment'!S$10:S$172,"MISSING",0)</f>
        <v>0</v>
      </c>
      <c r="I20" s="471">
        <f>_xlfn.XLOOKUP($F20,'Physical Condition Assessment'!$U$10:$U$172,'Physical Condition Assessment'!AP$10:AP$172,"MISSING",0)</f>
        <v>0</v>
      </c>
      <c r="J20" s="525" t="e">
        <f t="shared" si="1"/>
        <v>#DIV/0!</v>
      </c>
      <c r="K20" s="471">
        <f ca="1">_xlfn.XLOOKUP($F20,'Physical Condition Assessment'!$U$10:$U$172,'Physical Condition Assessment'!AV$10:AV$172,"MISSING",0)</f>
        <v>0</v>
      </c>
      <c r="L20" s="471">
        <f ca="1">_xlfn.XLOOKUP($F20,'Physical Condition Assessment'!$U$10:$U$172,'Physical Condition Assessment'!AW$10:AW$172,"MISSING",0)</f>
        <v>0</v>
      </c>
      <c r="M20" s="471">
        <f ca="1">_xlfn.XLOOKUP($F20,'Physical Condition Assessment'!$U$10:$U$172,'Physical Condition Assessment'!AX$10:AX$172,"MISSING",0)</f>
        <v>0</v>
      </c>
      <c r="N20" s="471">
        <f ca="1">_xlfn.XLOOKUP($F20,'Physical Condition Assessment'!$U$10:$U$172,'Physical Condition Assessment'!AY$10:AY$172,"MISSING",0)</f>
        <v>0</v>
      </c>
      <c r="R20" s="592"/>
      <c r="S20" s="592"/>
      <c r="T20" s="592"/>
      <c r="U20" s="592"/>
      <c r="V20" s="592"/>
      <c r="W20" s="592"/>
    </row>
    <row r="21" spans="1:23" x14ac:dyDescent="0.2">
      <c r="A21" s="502">
        <f>'Base Information Sheet'!$B$5</f>
        <v>0</v>
      </c>
      <c r="B21" s="502" t="str">
        <f>_xlfn.XLOOKUP($F21,'Physical Condition Assessment'!$U$10:$U$172,'Physical Condition Assessment'!A$10:A$172,"MISSING",0)</f>
        <v>B    SHELL</v>
      </c>
      <c r="C21" s="502" t="str">
        <f>_xlfn.XLOOKUP($F21,'Physical Condition Assessment'!$U$10:$U$172,'Physical Condition Assessment'!B$10:B$172,"MISSING",0)</f>
        <v>B20 Exterior Enclosure</v>
      </c>
      <c r="D21" s="502" t="str">
        <f>_xlfn.XLOOKUP($F21,'Physical Condition Assessment'!$U$10:$U$172,'Physical Condition Assessment'!C$10:C$172,"MISSING",0)</f>
        <v>B2010 Exterior Walls</v>
      </c>
      <c r="E21" s="502" t="str">
        <f>_xlfn.XLOOKUP($F21,'Physical Condition Assessment'!$U$10:$U$172,'Physical Condition Assessment'!D$10:D$172,"MISSING",0)</f>
        <v>Framed w/Stucco</v>
      </c>
      <c r="F21" s="502" t="s">
        <v>109</v>
      </c>
      <c r="G21" s="502" t="str">
        <f>_xlfn.XLOOKUP($F21,'Physical Condition Assessment'!$U$10:$U$172,'Physical Condition Assessment'!V$10:V$172,"MISSING",0)</f>
        <v>Exterior Structure</v>
      </c>
      <c r="H21" s="471">
        <f>_xlfn.XLOOKUP($F21,'Physical Condition Assessment'!$U$10:$U$172,'Physical Condition Assessment'!S$10:S$172,"MISSING",0)</f>
        <v>0</v>
      </c>
      <c r="I21" s="471">
        <f>_xlfn.XLOOKUP($F21,'Physical Condition Assessment'!$U$10:$U$172,'Physical Condition Assessment'!AP$10:AP$172,"MISSING",0)</f>
        <v>0</v>
      </c>
      <c r="J21" s="525" t="e">
        <f t="shared" si="1"/>
        <v>#DIV/0!</v>
      </c>
      <c r="K21" s="471">
        <f ca="1">_xlfn.XLOOKUP($F21,'Physical Condition Assessment'!$U$10:$U$172,'Physical Condition Assessment'!AV$10:AV$172,"MISSING",0)</f>
        <v>0</v>
      </c>
      <c r="L21" s="471">
        <f ca="1">_xlfn.XLOOKUP($F21,'Physical Condition Assessment'!$U$10:$U$172,'Physical Condition Assessment'!AW$10:AW$172,"MISSING",0)</f>
        <v>0</v>
      </c>
      <c r="M21" s="471">
        <f ca="1">_xlfn.XLOOKUP($F21,'Physical Condition Assessment'!$U$10:$U$172,'Physical Condition Assessment'!AX$10:AX$172,"MISSING",0)</f>
        <v>0</v>
      </c>
      <c r="N21" s="471">
        <f ca="1">_xlfn.XLOOKUP($F21,'Physical Condition Assessment'!$U$10:$U$172,'Physical Condition Assessment'!AY$10:AY$172,"MISSING",0)</f>
        <v>0</v>
      </c>
    </row>
    <row r="22" spans="1:23" x14ac:dyDescent="0.2">
      <c r="A22" s="502">
        <f>'Base Information Sheet'!$B$5</f>
        <v>0</v>
      </c>
      <c r="B22" s="502" t="str">
        <f>_xlfn.XLOOKUP($F22,'Physical Condition Assessment'!$U$10:$U$172,'Physical Condition Assessment'!A$10:A$172,"MISSING",0)</f>
        <v>B    SHELL</v>
      </c>
      <c r="C22" s="502" t="str">
        <f>_xlfn.XLOOKUP($F22,'Physical Condition Assessment'!$U$10:$U$172,'Physical Condition Assessment'!B$10:B$172,"MISSING",0)</f>
        <v>B20 Exterior Enclosure</v>
      </c>
      <c r="D22" s="502" t="str">
        <f>_xlfn.XLOOKUP($F22,'Physical Condition Assessment'!$U$10:$U$172,'Physical Condition Assessment'!C$10:C$172,"MISSING",0)</f>
        <v>B2010 Exterior Walls</v>
      </c>
      <c r="E22" s="502" t="str">
        <f>_xlfn.XLOOKUP($F22,'Physical Condition Assessment'!$U$10:$U$172,'Physical Condition Assessment'!D$10:D$172,"MISSING",0)</f>
        <v>Masonry</v>
      </c>
      <c r="F22" s="502" t="s">
        <v>103</v>
      </c>
      <c r="G22" s="502" t="str">
        <f>_xlfn.XLOOKUP($F22,'Physical Condition Assessment'!$U$10:$U$172,'Physical Condition Assessment'!V$10:V$172,"MISSING",0)</f>
        <v>Exterior Structure</v>
      </c>
      <c r="H22" s="471">
        <f>_xlfn.XLOOKUP($F22,'Physical Condition Assessment'!$U$10:$U$172,'Physical Condition Assessment'!S$10:S$172,"MISSING",0)</f>
        <v>0</v>
      </c>
      <c r="I22" s="471">
        <f>_xlfn.XLOOKUP($F22,'Physical Condition Assessment'!$U$10:$U$172,'Physical Condition Assessment'!AP$10:AP$172,"MISSING",0)</f>
        <v>0</v>
      </c>
      <c r="J22" s="525" t="e">
        <f t="shared" si="1"/>
        <v>#DIV/0!</v>
      </c>
      <c r="K22" s="471">
        <f ca="1">_xlfn.XLOOKUP($F22,'Physical Condition Assessment'!$U$10:$U$172,'Physical Condition Assessment'!AV$10:AV$172,"MISSING",0)</f>
        <v>0</v>
      </c>
      <c r="L22" s="471">
        <f ca="1">_xlfn.XLOOKUP($F22,'Physical Condition Assessment'!$U$10:$U$172,'Physical Condition Assessment'!AW$10:AW$172,"MISSING",0)</f>
        <v>0</v>
      </c>
      <c r="M22" s="471">
        <f ca="1">_xlfn.XLOOKUP($F22,'Physical Condition Assessment'!$U$10:$U$172,'Physical Condition Assessment'!AX$10:AX$172,"MISSING",0)</f>
        <v>0</v>
      </c>
      <c r="N22" s="471">
        <f ca="1">_xlfn.XLOOKUP($F22,'Physical Condition Assessment'!$U$10:$U$172,'Physical Condition Assessment'!AY$10:AY$172,"MISSING",0)</f>
        <v>0</v>
      </c>
    </row>
    <row r="23" spans="1:23" x14ac:dyDescent="0.2">
      <c r="A23" s="502">
        <f>'Base Information Sheet'!$B$5</f>
        <v>0</v>
      </c>
      <c r="B23" s="502" t="str">
        <f>_xlfn.XLOOKUP($F23,'Physical Condition Assessment'!$U$10:$U$172,'Physical Condition Assessment'!A$10:A$172,"MISSING",0)</f>
        <v>B    SHELL</v>
      </c>
      <c r="C23" s="502" t="str">
        <f>_xlfn.XLOOKUP($F23,'Physical Condition Assessment'!$U$10:$U$172,'Physical Condition Assessment'!B$10:B$172,"MISSING",0)</f>
        <v>B20 Exterior Enclosure</v>
      </c>
      <c r="D23" s="502" t="str">
        <f>_xlfn.XLOOKUP($F23,'Physical Condition Assessment'!$U$10:$U$172,'Physical Condition Assessment'!C$10:C$172,"MISSING",0)</f>
        <v>B2020 Exterior Windows</v>
      </c>
      <c r="E23" s="502" t="str">
        <f>_xlfn.XLOOKUP($F23,'Physical Condition Assessment'!$U$10:$U$172,'Physical Condition Assessment'!D$10:D$172,"MISSING",0)</f>
        <v>Aluminum/Steel</v>
      </c>
      <c r="F23" s="502" t="s">
        <v>118</v>
      </c>
      <c r="G23" s="502" t="str">
        <f>_xlfn.XLOOKUP($F23,'Physical Condition Assessment'!$U$10:$U$172,'Physical Condition Assessment'!V$10:V$172,"MISSING",0)</f>
        <v>Exterior/Interior Windows</v>
      </c>
      <c r="H23" s="471">
        <f>_xlfn.XLOOKUP($F23,'Physical Condition Assessment'!$U$10:$U$172,'Physical Condition Assessment'!S$10:S$172,"MISSING",0)</f>
        <v>0</v>
      </c>
      <c r="I23" s="471">
        <f>_xlfn.XLOOKUP($F23,'Physical Condition Assessment'!$U$10:$U$172,'Physical Condition Assessment'!AP$10:AP$172,"MISSING",0)</f>
        <v>0</v>
      </c>
      <c r="J23" s="525" t="e">
        <f t="shared" si="1"/>
        <v>#DIV/0!</v>
      </c>
      <c r="K23" s="471">
        <f ca="1">_xlfn.XLOOKUP($F23,'Physical Condition Assessment'!$U$10:$U$172,'Physical Condition Assessment'!AV$10:AV$172,"MISSING",0)</f>
        <v>0</v>
      </c>
      <c r="L23" s="471">
        <f ca="1">_xlfn.XLOOKUP($F23,'Physical Condition Assessment'!$U$10:$U$172,'Physical Condition Assessment'!AW$10:AW$172,"MISSING",0)</f>
        <v>0</v>
      </c>
      <c r="M23" s="471">
        <f ca="1">_xlfn.XLOOKUP($F23,'Physical Condition Assessment'!$U$10:$U$172,'Physical Condition Assessment'!AX$10:AX$172,"MISSING",0)</f>
        <v>0</v>
      </c>
      <c r="N23" s="471">
        <f ca="1">_xlfn.XLOOKUP($F23,'Physical Condition Assessment'!$U$10:$U$172,'Physical Condition Assessment'!AY$10:AY$172,"MISSING",0)</f>
        <v>0</v>
      </c>
    </row>
    <row r="24" spans="1:23" x14ac:dyDescent="0.2">
      <c r="A24" s="502">
        <f>'Base Information Sheet'!$B$5</f>
        <v>0</v>
      </c>
      <c r="B24" s="502" t="str">
        <f>_xlfn.XLOOKUP($F24,'Physical Condition Assessment'!$U$10:$U$172,'Physical Condition Assessment'!A$10:A$172,"MISSING",0)</f>
        <v>B    SHELL</v>
      </c>
      <c r="C24" s="502" t="str">
        <f>_xlfn.XLOOKUP($F24,'Physical Condition Assessment'!$U$10:$U$172,'Physical Condition Assessment'!B$10:B$172,"MISSING",0)</f>
        <v>B20 Exterior Enclosure</v>
      </c>
      <c r="D24" s="502" t="str">
        <f>_xlfn.XLOOKUP($F24,'Physical Condition Assessment'!$U$10:$U$172,'Physical Condition Assessment'!C$10:C$172,"MISSING",0)</f>
        <v>B2020 Exterior Windows</v>
      </c>
      <c r="E24" s="502" t="str">
        <f>_xlfn.XLOOKUP($F24,'Physical Condition Assessment'!$U$10:$U$172,'Physical Condition Assessment'!D$10:D$172,"MISSING",0)</f>
        <v>Clad</v>
      </c>
      <c r="F24" s="502" t="s">
        <v>120</v>
      </c>
      <c r="G24" s="502" t="str">
        <f>_xlfn.XLOOKUP($F24,'Physical Condition Assessment'!$U$10:$U$172,'Physical Condition Assessment'!V$10:V$172,"MISSING",0)</f>
        <v>Exterior/Interior Windows</v>
      </c>
      <c r="H24" s="471">
        <f>_xlfn.XLOOKUP($F24,'Physical Condition Assessment'!$U$10:$U$172,'Physical Condition Assessment'!S$10:S$172,"MISSING",0)</f>
        <v>0</v>
      </c>
      <c r="I24" s="471">
        <f>_xlfn.XLOOKUP($F24,'Physical Condition Assessment'!$U$10:$U$172,'Physical Condition Assessment'!AP$10:AP$172,"MISSING",0)</f>
        <v>0</v>
      </c>
      <c r="J24" s="525" t="e">
        <f t="shared" si="1"/>
        <v>#DIV/0!</v>
      </c>
      <c r="K24" s="471">
        <f ca="1">_xlfn.XLOOKUP($F24,'Physical Condition Assessment'!$U$10:$U$172,'Physical Condition Assessment'!AV$10:AV$172,"MISSING",0)</f>
        <v>0</v>
      </c>
      <c r="L24" s="471">
        <f ca="1">_xlfn.XLOOKUP($F24,'Physical Condition Assessment'!$U$10:$U$172,'Physical Condition Assessment'!AW$10:AW$172,"MISSING",0)</f>
        <v>0</v>
      </c>
      <c r="M24" s="471">
        <f ca="1">_xlfn.XLOOKUP($F24,'Physical Condition Assessment'!$U$10:$U$172,'Physical Condition Assessment'!AX$10:AX$172,"MISSING",0)</f>
        <v>0</v>
      </c>
      <c r="N24" s="471">
        <f ca="1">_xlfn.XLOOKUP($F24,'Physical Condition Assessment'!$U$10:$U$172,'Physical Condition Assessment'!AY$10:AY$172,"MISSING",0)</f>
        <v>0</v>
      </c>
    </row>
    <row r="25" spans="1:23" x14ac:dyDescent="0.2">
      <c r="A25" s="502">
        <f>'Base Information Sheet'!$B$5</f>
        <v>0</v>
      </c>
      <c r="B25" s="502" t="str">
        <f>_xlfn.XLOOKUP($F25,'Physical Condition Assessment'!$U$10:$U$172,'Physical Condition Assessment'!A$10:A$172,"MISSING",0)</f>
        <v>B    SHELL</v>
      </c>
      <c r="C25" s="502" t="str">
        <f>_xlfn.XLOOKUP($F25,'Physical Condition Assessment'!$U$10:$U$172,'Physical Condition Assessment'!B$10:B$172,"MISSING",0)</f>
        <v>B20 Exterior Enclosure</v>
      </c>
      <c r="D25" s="502" t="str">
        <f>_xlfn.XLOOKUP($F25,'Physical Condition Assessment'!$U$10:$U$172,'Physical Condition Assessment'!C$10:C$172,"MISSING",0)</f>
        <v>B2020 Exterior Windows</v>
      </c>
      <c r="E25" s="502" t="str">
        <f>_xlfn.XLOOKUP($F25,'Physical Condition Assessment'!$U$10:$U$172,'Physical Condition Assessment'!D$10:D$172,"MISSING",0)</f>
        <v>Curtain Wall</v>
      </c>
      <c r="F25" s="502" t="s">
        <v>122</v>
      </c>
      <c r="G25" s="502" t="str">
        <f>_xlfn.XLOOKUP($F25,'Physical Condition Assessment'!$U$10:$U$172,'Physical Condition Assessment'!V$10:V$172,"MISSING",0)</f>
        <v>Exterior/Interior Windows</v>
      </c>
      <c r="H25" s="471">
        <f>_xlfn.XLOOKUP($F25,'Physical Condition Assessment'!$U$10:$U$172,'Physical Condition Assessment'!S$10:S$172,"MISSING",0)</f>
        <v>0</v>
      </c>
      <c r="I25" s="471">
        <f>_xlfn.XLOOKUP($F25,'Physical Condition Assessment'!$U$10:$U$172,'Physical Condition Assessment'!AP$10:AP$172,"MISSING",0)</f>
        <v>0</v>
      </c>
      <c r="J25" s="525" t="e">
        <f t="shared" si="1"/>
        <v>#DIV/0!</v>
      </c>
      <c r="K25" s="471">
        <f ca="1">_xlfn.XLOOKUP($F25,'Physical Condition Assessment'!$U$10:$U$172,'Physical Condition Assessment'!AV$10:AV$172,"MISSING",0)</f>
        <v>0</v>
      </c>
      <c r="L25" s="471">
        <f ca="1">_xlfn.XLOOKUP($F25,'Physical Condition Assessment'!$U$10:$U$172,'Physical Condition Assessment'!AW$10:AW$172,"MISSING",0)</f>
        <v>0</v>
      </c>
      <c r="M25" s="471">
        <f ca="1">_xlfn.XLOOKUP($F25,'Physical Condition Assessment'!$U$10:$U$172,'Physical Condition Assessment'!AX$10:AX$172,"MISSING",0)</f>
        <v>0</v>
      </c>
      <c r="N25" s="471">
        <f ca="1">_xlfn.XLOOKUP($F25,'Physical Condition Assessment'!$U$10:$U$172,'Physical Condition Assessment'!AY$10:AY$172,"MISSING",0)</f>
        <v>0</v>
      </c>
    </row>
    <row r="26" spans="1:23" x14ac:dyDescent="0.2">
      <c r="A26" s="502">
        <f>'Base Information Sheet'!$B$5</f>
        <v>0</v>
      </c>
      <c r="B26" s="502" t="str">
        <f>_xlfn.XLOOKUP($F26,'Physical Condition Assessment'!$U$10:$U$172,'Physical Condition Assessment'!A$10:A$172,"MISSING",0)</f>
        <v>B    SHELL</v>
      </c>
      <c r="C26" s="502" t="str">
        <f>_xlfn.XLOOKUP($F26,'Physical Condition Assessment'!$U$10:$U$172,'Physical Condition Assessment'!B$10:B$172,"MISSING",0)</f>
        <v>B20 Exterior Enclosure</v>
      </c>
      <c r="D26" s="502" t="str">
        <f>_xlfn.XLOOKUP($F26,'Physical Condition Assessment'!$U$10:$U$172,'Physical Condition Assessment'!C$10:C$172,"MISSING",0)</f>
        <v>B2020 Exterior Windows</v>
      </c>
      <c r="E26" s="502" t="str">
        <f>_xlfn.XLOOKUP($F26,'Physical Condition Assessment'!$U$10:$U$172,'Physical Condition Assessment'!D$10:D$172,"MISSING",0)</f>
        <v>Wood</v>
      </c>
      <c r="F26" s="502" t="s">
        <v>113</v>
      </c>
      <c r="G26" s="502" t="str">
        <f>_xlfn.XLOOKUP($F26,'Physical Condition Assessment'!$U$10:$U$172,'Physical Condition Assessment'!V$10:V$172,"MISSING",0)</f>
        <v>Exterior/Interior Windows</v>
      </c>
      <c r="H26" s="471">
        <f>_xlfn.XLOOKUP($F26,'Physical Condition Assessment'!$U$10:$U$172,'Physical Condition Assessment'!S$10:S$172,"MISSING",0)</f>
        <v>0</v>
      </c>
      <c r="I26" s="471">
        <f>_xlfn.XLOOKUP($F26,'Physical Condition Assessment'!$U$10:$U$172,'Physical Condition Assessment'!AP$10:AP$172,"MISSING",0)</f>
        <v>0</v>
      </c>
      <c r="J26" s="525" t="e">
        <f t="shared" si="1"/>
        <v>#DIV/0!</v>
      </c>
      <c r="K26" s="471">
        <f ca="1">_xlfn.XLOOKUP($F26,'Physical Condition Assessment'!$U$10:$U$172,'Physical Condition Assessment'!AV$10:AV$172,"MISSING",0)</f>
        <v>0</v>
      </c>
      <c r="L26" s="471">
        <f ca="1">_xlfn.XLOOKUP($F26,'Physical Condition Assessment'!$U$10:$U$172,'Physical Condition Assessment'!AW$10:AW$172,"MISSING",0)</f>
        <v>0</v>
      </c>
      <c r="M26" s="471">
        <f ca="1">_xlfn.XLOOKUP($F26,'Physical Condition Assessment'!$U$10:$U$172,'Physical Condition Assessment'!AX$10:AX$172,"MISSING",0)</f>
        <v>0</v>
      </c>
      <c r="N26" s="471">
        <f ca="1">_xlfn.XLOOKUP($F26,'Physical Condition Assessment'!$U$10:$U$172,'Physical Condition Assessment'!AY$10:AY$172,"MISSING",0)</f>
        <v>0</v>
      </c>
    </row>
    <row r="27" spans="1:23" x14ac:dyDescent="0.2">
      <c r="A27" s="502">
        <f>'Base Information Sheet'!$B$5</f>
        <v>0</v>
      </c>
      <c r="B27" s="502" t="str">
        <f>_xlfn.XLOOKUP($F27,'Physical Condition Assessment'!$U$10:$U$172,'Physical Condition Assessment'!A$10:A$172,"MISSING",0)</f>
        <v>C    INTERIORS</v>
      </c>
      <c r="C27" s="502" t="str">
        <f>_xlfn.XLOOKUP($F27,'Physical Condition Assessment'!$U$10:$U$172,'Physical Condition Assessment'!B$10:B$172,"MISSING",0)</f>
        <v>C10 Interior Construction</v>
      </c>
      <c r="D27" s="502" t="str">
        <f>_xlfn.XLOOKUP($F27,'Physical Condition Assessment'!$U$10:$U$172,'Physical Condition Assessment'!C$10:C$172,"MISSING",0)</f>
        <v>Interior Windows</v>
      </c>
      <c r="E27" s="502" t="str">
        <f>_xlfn.XLOOKUP($F27,'Physical Condition Assessment'!$U$10:$U$172,'Physical Condition Assessment'!D$10:D$172,"MISSING",0)</f>
        <v>Aluminum/Steel</v>
      </c>
      <c r="F27" s="502" t="s">
        <v>173</v>
      </c>
      <c r="G27" s="502" t="str">
        <f>_xlfn.XLOOKUP($F27,'Physical Condition Assessment'!$U$10:$U$172,'Physical Condition Assessment'!V$10:V$172,"MISSING",0)</f>
        <v>Exterior/Interior Windows</v>
      </c>
      <c r="H27" s="471">
        <f>_xlfn.XLOOKUP($F27,'Physical Condition Assessment'!$U$10:$U$172,'Physical Condition Assessment'!S$10:S$172,"MISSING",0)</f>
        <v>0</v>
      </c>
      <c r="I27" s="471">
        <f>_xlfn.XLOOKUP($F27,'Physical Condition Assessment'!$U$10:$U$172,'Physical Condition Assessment'!AP$10:AP$172,"MISSING",0)</f>
        <v>0</v>
      </c>
      <c r="J27" s="525" t="e">
        <f t="shared" si="1"/>
        <v>#DIV/0!</v>
      </c>
      <c r="K27" s="471">
        <f ca="1">_xlfn.XLOOKUP($F27,'Physical Condition Assessment'!$U$10:$U$172,'Physical Condition Assessment'!AV$10:AV$172,"MISSING",0)</f>
        <v>0</v>
      </c>
      <c r="L27" s="471">
        <f ca="1">_xlfn.XLOOKUP($F27,'Physical Condition Assessment'!$U$10:$U$172,'Physical Condition Assessment'!AW$10:AW$172,"MISSING",0)</f>
        <v>0</v>
      </c>
      <c r="M27" s="471">
        <f ca="1">_xlfn.XLOOKUP($F27,'Physical Condition Assessment'!$U$10:$U$172,'Physical Condition Assessment'!AX$10:AX$172,"MISSING",0)</f>
        <v>0</v>
      </c>
      <c r="N27" s="471">
        <f ca="1">_xlfn.XLOOKUP($F27,'Physical Condition Assessment'!$U$10:$U$172,'Physical Condition Assessment'!AY$10:AY$172,"MISSING",0)</f>
        <v>0</v>
      </c>
    </row>
    <row r="28" spans="1:23" x14ac:dyDescent="0.2">
      <c r="A28" s="502">
        <f>'Base Information Sheet'!$B$5</f>
        <v>0</v>
      </c>
      <c r="B28" s="502">
        <v>1</v>
      </c>
      <c r="C28" s="502" t="str">
        <f>_xlfn.XLOOKUP($F28,'Physical Condition Assessment'!$U$10:$U$172,'Physical Condition Assessment'!B$10:B$172,"MISSING",0)</f>
        <v>C10 Interior Construction</v>
      </c>
      <c r="D28" s="502" t="str">
        <f>_xlfn.XLOOKUP($F28,'Physical Condition Assessment'!$U$10:$U$172,'Physical Condition Assessment'!C$10:C$172,"MISSING",0)</f>
        <v>Interior Windows</v>
      </c>
      <c r="E28" s="502" t="str">
        <f>_xlfn.XLOOKUP($F28,'Physical Condition Assessment'!$U$10:$U$172,'Physical Condition Assessment'!D$10:D$172,"MISSING",0)</f>
        <v>Clad</v>
      </c>
      <c r="F28" s="502" t="s">
        <v>174</v>
      </c>
      <c r="G28" s="502" t="str">
        <f>_xlfn.XLOOKUP($F28,'Physical Condition Assessment'!$U$10:$U$172,'Physical Condition Assessment'!V$10:V$172,"MISSING",0)</f>
        <v>Exterior/Interior Windows</v>
      </c>
      <c r="H28" s="471">
        <f>_xlfn.XLOOKUP($F28,'Physical Condition Assessment'!$U$10:$U$172,'Physical Condition Assessment'!S$10:S$172,"MISSING",0)</f>
        <v>0</v>
      </c>
      <c r="I28" s="471">
        <f>_xlfn.XLOOKUP($F28,'Physical Condition Assessment'!$U$10:$U$172,'Physical Condition Assessment'!AP$10:AP$172,"MISSING",0)</f>
        <v>0</v>
      </c>
      <c r="J28" s="525" t="e">
        <f t="shared" si="1"/>
        <v>#DIV/0!</v>
      </c>
      <c r="K28" s="471">
        <f ca="1">_xlfn.XLOOKUP($F28,'Physical Condition Assessment'!$U$10:$U$172,'Physical Condition Assessment'!AV$10:AV$172,"MISSING",0)</f>
        <v>0</v>
      </c>
      <c r="L28" s="471">
        <f ca="1">_xlfn.XLOOKUP($F28,'Physical Condition Assessment'!$U$10:$U$172,'Physical Condition Assessment'!AW$10:AW$172,"MISSING",0)</f>
        <v>0</v>
      </c>
      <c r="M28" s="471">
        <f ca="1">_xlfn.XLOOKUP($F28,'Physical Condition Assessment'!$U$10:$U$172,'Physical Condition Assessment'!AX$10:AX$172,"MISSING",0)</f>
        <v>0</v>
      </c>
      <c r="N28" s="471">
        <f ca="1">_xlfn.XLOOKUP($F28,'Physical Condition Assessment'!$U$10:$U$172,'Physical Condition Assessment'!AY$10:AY$172,"MISSING",0)</f>
        <v>0</v>
      </c>
    </row>
    <row r="29" spans="1:23" x14ac:dyDescent="0.2">
      <c r="A29" s="502">
        <f>'Base Information Sheet'!$B$5</f>
        <v>0</v>
      </c>
      <c r="B29" s="502" t="str">
        <f>_xlfn.XLOOKUP($F29,'Physical Condition Assessment'!$U$10:$U$172,'Physical Condition Assessment'!A$10:A$172,"MISSING",0)</f>
        <v>C    INTERIORS</v>
      </c>
      <c r="C29" s="502" t="str">
        <f>_xlfn.XLOOKUP($F29,'Physical Condition Assessment'!$U$10:$U$172,'Physical Condition Assessment'!B$10:B$172,"MISSING",0)</f>
        <v>C10 Interior Construction</v>
      </c>
      <c r="D29" s="502" t="str">
        <f>_xlfn.XLOOKUP($F29,'Physical Condition Assessment'!$U$10:$U$172,'Physical Condition Assessment'!C$10:C$172,"MISSING",0)</f>
        <v>Interior Windows</v>
      </c>
      <c r="E29" s="502" t="str">
        <f>_xlfn.XLOOKUP($F29,'Physical Condition Assessment'!$U$10:$U$172,'Physical Condition Assessment'!D$10:D$172,"MISSING",0)</f>
        <v>Wood</v>
      </c>
      <c r="F29" s="502" t="s">
        <v>172</v>
      </c>
      <c r="G29" s="502" t="str">
        <f>_xlfn.XLOOKUP($F29,'Physical Condition Assessment'!$U$10:$U$172,'Physical Condition Assessment'!V$10:V$172,"MISSING",0)</f>
        <v>Exterior/Interior Windows</v>
      </c>
      <c r="H29" s="471">
        <f>_xlfn.XLOOKUP($F29,'Physical Condition Assessment'!$U$10:$U$172,'Physical Condition Assessment'!S$10:S$172,"MISSING",0)</f>
        <v>0</v>
      </c>
      <c r="I29" s="471">
        <f>_xlfn.XLOOKUP($F29,'Physical Condition Assessment'!$U$10:$U$172,'Physical Condition Assessment'!AP$10:AP$172,"MISSING",0)</f>
        <v>0</v>
      </c>
      <c r="J29" s="525" t="e">
        <f t="shared" si="1"/>
        <v>#DIV/0!</v>
      </c>
      <c r="K29" s="471">
        <f ca="1">_xlfn.XLOOKUP($F29,'Physical Condition Assessment'!$U$10:$U$172,'Physical Condition Assessment'!AV$10:AV$172,"MISSING",0)</f>
        <v>0</v>
      </c>
      <c r="L29" s="471">
        <f ca="1">_xlfn.XLOOKUP($F29,'Physical Condition Assessment'!$U$10:$U$172,'Physical Condition Assessment'!AW$10:AW$172,"MISSING",0)</f>
        <v>0</v>
      </c>
      <c r="M29" s="471">
        <f ca="1">_xlfn.XLOOKUP($F29,'Physical Condition Assessment'!$U$10:$U$172,'Physical Condition Assessment'!AX$10:AX$172,"MISSING",0)</f>
        <v>0</v>
      </c>
      <c r="N29" s="471">
        <f ca="1">_xlfn.XLOOKUP($F29,'Physical Condition Assessment'!$U$10:$U$172,'Physical Condition Assessment'!AY$10:AY$172,"MISSING",0)</f>
        <v>0</v>
      </c>
    </row>
    <row r="30" spans="1:23" x14ac:dyDescent="0.2">
      <c r="A30" s="502">
        <f>'Base Information Sheet'!$B$5</f>
        <v>0</v>
      </c>
      <c r="B30" s="502" t="str">
        <f>_xlfn.XLOOKUP($F30,'Physical Condition Assessment'!$U$10:$U$172,'Physical Condition Assessment'!A$10:A$172,"MISSING",0)</f>
        <v>B    SHELL</v>
      </c>
      <c r="C30" s="502" t="str">
        <f>_xlfn.XLOOKUP($F30,'Physical Condition Assessment'!$U$10:$U$172,'Physical Condition Assessment'!B$10:B$172,"MISSING",0)</f>
        <v>B10 Superstructure</v>
      </c>
      <c r="D30" s="502" t="str">
        <f>_xlfn.XLOOKUP($F30,'Physical Condition Assessment'!$U$10:$U$172,'Physical Condition Assessment'!C$10:C$172,"MISSING",0)</f>
        <v>B1010 Floor Construction</v>
      </c>
      <c r="E30" s="502" t="str">
        <f>_xlfn.XLOOKUP($F30,'Physical Condition Assessment'!$U$10:$U$172,'Physical Condition Assessment'!D$10:D$172,"MISSING",0)</f>
        <v>Concrete</v>
      </c>
      <c r="F30" s="502" t="s">
        <v>89</v>
      </c>
      <c r="G30" s="502" t="str">
        <f>_xlfn.XLOOKUP($F30,'Physical Condition Assessment'!$U$10:$U$172,'Physical Condition Assessment'!V$10:V$172,"MISSING",0)</f>
        <v>Interior Structure</v>
      </c>
      <c r="H30" s="471">
        <f>_xlfn.XLOOKUP($F30,'Physical Condition Assessment'!$U$10:$U$172,'Physical Condition Assessment'!S$10:S$172,"MISSING",0)</f>
        <v>0</v>
      </c>
      <c r="I30" s="471">
        <f>_xlfn.XLOOKUP($F30,'Physical Condition Assessment'!$U$10:$U$172,'Physical Condition Assessment'!AP$10:AP$172,"MISSING",0)</f>
        <v>0</v>
      </c>
      <c r="J30" s="525" t="e">
        <f t="shared" si="1"/>
        <v>#DIV/0!</v>
      </c>
      <c r="K30" s="471">
        <f ca="1">_xlfn.XLOOKUP($F30,'Physical Condition Assessment'!$U$10:$U$172,'Physical Condition Assessment'!AV$10:AV$172,"MISSING",0)</f>
        <v>0</v>
      </c>
      <c r="L30" s="471">
        <f ca="1">_xlfn.XLOOKUP($F30,'Physical Condition Assessment'!$U$10:$U$172,'Physical Condition Assessment'!AW$10:AW$172,"MISSING",0)</f>
        <v>0</v>
      </c>
      <c r="M30" s="471">
        <f ca="1">_xlfn.XLOOKUP($F30,'Physical Condition Assessment'!$U$10:$U$172,'Physical Condition Assessment'!AX$10:AX$172,"MISSING",0)</f>
        <v>0</v>
      </c>
      <c r="N30" s="471">
        <f ca="1">_xlfn.XLOOKUP($F30,'Physical Condition Assessment'!$U$10:$U$172,'Physical Condition Assessment'!AY$10:AY$172,"MISSING",0)</f>
        <v>0</v>
      </c>
    </row>
    <row r="31" spans="1:23" x14ac:dyDescent="0.2">
      <c r="A31" s="502">
        <f>'Base Information Sheet'!$B$5</f>
        <v>0</v>
      </c>
      <c r="B31" s="502" t="str">
        <f>_xlfn.XLOOKUP($F31,'Physical Condition Assessment'!$U$10:$U$172,'Physical Condition Assessment'!A$10:A$172,"MISSING",0)</f>
        <v>B    SHELL</v>
      </c>
      <c r="C31" s="502" t="str">
        <f>_xlfn.XLOOKUP($F31,'Physical Condition Assessment'!$U$10:$U$172,'Physical Condition Assessment'!B$10:B$172,"MISSING",0)</f>
        <v>B10 Superstructure</v>
      </c>
      <c r="D31" s="502" t="str">
        <f>_xlfn.XLOOKUP($F31,'Physical Condition Assessment'!$U$10:$U$172,'Physical Condition Assessment'!C$10:C$172,"MISSING",0)</f>
        <v>B1010 Floor Construction</v>
      </c>
      <c r="E31" s="502" t="str">
        <f>_xlfn.XLOOKUP($F31,'Physical Condition Assessment'!$U$10:$U$172,'Physical Condition Assessment'!D$10:D$172,"MISSING",0)</f>
        <v>Steel</v>
      </c>
      <c r="F31" s="502" t="s">
        <v>87</v>
      </c>
      <c r="G31" s="502" t="str">
        <f>_xlfn.XLOOKUP($F31,'Physical Condition Assessment'!$U$10:$U$172,'Physical Condition Assessment'!V$10:V$172,"MISSING",0)</f>
        <v>Interior Structure</v>
      </c>
      <c r="H31" s="471">
        <f>_xlfn.XLOOKUP($F31,'Physical Condition Assessment'!$U$10:$U$172,'Physical Condition Assessment'!S$10:S$172,"MISSING",0)</f>
        <v>0</v>
      </c>
      <c r="I31" s="471">
        <f>_xlfn.XLOOKUP($F31,'Physical Condition Assessment'!$U$10:$U$172,'Physical Condition Assessment'!AP$10:AP$172,"MISSING",0)</f>
        <v>0</v>
      </c>
      <c r="J31" s="525" t="e">
        <f t="shared" si="1"/>
        <v>#DIV/0!</v>
      </c>
      <c r="K31" s="471">
        <f ca="1">_xlfn.XLOOKUP($F31,'Physical Condition Assessment'!$U$10:$U$172,'Physical Condition Assessment'!AV$10:AV$172,"MISSING",0)</f>
        <v>0</v>
      </c>
      <c r="L31" s="471">
        <f ca="1">_xlfn.XLOOKUP($F31,'Physical Condition Assessment'!$U$10:$U$172,'Physical Condition Assessment'!AW$10:AW$172,"MISSING",0)</f>
        <v>0</v>
      </c>
      <c r="M31" s="471">
        <f ca="1">_xlfn.XLOOKUP($F31,'Physical Condition Assessment'!$U$10:$U$172,'Physical Condition Assessment'!AX$10:AX$172,"MISSING",0)</f>
        <v>0</v>
      </c>
      <c r="N31" s="471">
        <f ca="1">_xlfn.XLOOKUP($F31,'Physical Condition Assessment'!$U$10:$U$172,'Physical Condition Assessment'!AY$10:AY$172,"MISSING",0)</f>
        <v>0</v>
      </c>
    </row>
    <row r="32" spans="1:23" x14ac:dyDescent="0.2">
      <c r="A32" s="502">
        <f>'Base Information Sheet'!$B$5</f>
        <v>0</v>
      </c>
      <c r="B32" s="502" t="str">
        <f>_xlfn.XLOOKUP($F32,'Physical Condition Assessment'!$U$10:$U$172,'Physical Condition Assessment'!A$10:A$172,"MISSING",0)</f>
        <v>B    SHELL</v>
      </c>
      <c r="C32" s="502" t="str">
        <f>_xlfn.XLOOKUP($F32,'Physical Condition Assessment'!$U$10:$U$172,'Physical Condition Assessment'!B$10:B$172,"MISSING",0)</f>
        <v>B10 Superstructure</v>
      </c>
      <c r="D32" s="502" t="str">
        <f>_xlfn.XLOOKUP($F32,'Physical Condition Assessment'!$U$10:$U$172,'Physical Condition Assessment'!C$10:C$172,"MISSING",0)</f>
        <v>B1010 Floor Construction</v>
      </c>
      <c r="E32" s="502" t="str">
        <f>_xlfn.XLOOKUP($F32,'Physical Condition Assessment'!$U$10:$U$172,'Physical Condition Assessment'!D$10:D$172,"MISSING",0)</f>
        <v>Wood</v>
      </c>
      <c r="F32" s="502" t="s">
        <v>84</v>
      </c>
      <c r="G32" s="502" t="str">
        <f>_xlfn.XLOOKUP($F32,'Physical Condition Assessment'!$U$10:$U$172,'Physical Condition Assessment'!V$10:V$172,"MISSING",0)</f>
        <v>Interior Structure</v>
      </c>
      <c r="H32" s="471">
        <f>_xlfn.XLOOKUP($F32,'Physical Condition Assessment'!$U$10:$U$172,'Physical Condition Assessment'!S$10:S$172,"MISSING",0)</f>
        <v>0</v>
      </c>
      <c r="I32" s="471">
        <f>_xlfn.XLOOKUP($F32,'Physical Condition Assessment'!$U$10:$U$172,'Physical Condition Assessment'!AP$10:AP$172,"MISSING",0)</f>
        <v>0</v>
      </c>
      <c r="J32" s="525" t="e">
        <f t="shared" si="1"/>
        <v>#DIV/0!</v>
      </c>
      <c r="K32" s="471">
        <f ca="1">_xlfn.XLOOKUP($F32,'Physical Condition Assessment'!$U$10:$U$172,'Physical Condition Assessment'!AV$10:AV$172,"MISSING",0)</f>
        <v>0</v>
      </c>
      <c r="L32" s="471">
        <f ca="1">_xlfn.XLOOKUP($F32,'Physical Condition Assessment'!$U$10:$U$172,'Physical Condition Assessment'!AW$10:AW$172,"MISSING",0)</f>
        <v>0</v>
      </c>
      <c r="M32" s="471">
        <f ca="1">_xlfn.XLOOKUP($F32,'Physical Condition Assessment'!$U$10:$U$172,'Physical Condition Assessment'!AX$10:AX$172,"MISSING",0)</f>
        <v>0</v>
      </c>
      <c r="N32" s="471">
        <f ca="1">_xlfn.XLOOKUP($F32,'Physical Condition Assessment'!$U$10:$U$172,'Physical Condition Assessment'!AY$10:AY$172,"MISSING",0)</f>
        <v>0</v>
      </c>
    </row>
    <row r="33" spans="1:14" x14ac:dyDescent="0.2">
      <c r="A33" s="502">
        <f>'Base Information Sheet'!$B$5</f>
        <v>0</v>
      </c>
      <c r="B33" s="502" t="str">
        <f>_xlfn.XLOOKUP($F33,'Physical Condition Assessment'!$U$10:$U$172,'Physical Condition Assessment'!A$10:A$172,"MISSING",0)</f>
        <v>B    SHELL</v>
      </c>
      <c r="C33" s="502" t="str">
        <f>_xlfn.XLOOKUP($F33,'Physical Condition Assessment'!$U$10:$U$172,'Physical Condition Assessment'!B$10:B$172,"MISSING",0)</f>
        <v>B10 Superstructure</v>
      </c>
      <c r="D33" s="502" t="str">
        <f>_xlfn.XLOOKUP($F33,'Physical Condition Assessment'!$U$10:$U$172,'Physical Condition Assessment'!C$10:C$172,"MISSING",0)</f>
        <v>B1020 Roof Construction</v>
      </c>
      <c r="E33" s="502" t="str">
        <f>_xlfn.XLOOKUP($F33,'Physical Condition Assessment'!$U$10:$U$172,'Physical Condition Assessment'!D$10:D$172,"MISSING",0)</f>
        <v>Wood</v>
      </c>
      <c r="F33" s="502" t="s">
        <v>92</v>
      </c>
      <c r="G33" s="502" t="str">
        <f>_xlfn.XLOOKUP($F33,'Physical Condition Assessment'!$U$10:$U$172,'Physical Condition Assessment'!V$10:V$172,"MISSING",0)</f>
        <v>Roofing</v>
      </c>
      <c r="H33" s="471">
        <f>_xlfn.XLOOKUP($F33,'Physical Condition Assessment'!$U$10:$U$172,'Physical Condition Assessment'!S$10:S$172,"MISSING",0)</f>
        <v>0</v>
      </c>
      <c r="I33" s="471">
        <f>_xlfn.XLOOKUP($F33,'Physical Condition Assessment'!$U$10:$U$172,'Physical Condition Assessment'!AP$10:AP$172,"MISSING",0)</f>
        <v>0</v>
      </c>
      <c r="J33" s="525" t="e">
        <f t="shared" si="1"/>
        <v>#DIV/0!</v>
      </c>
      <c r="K33" s="471">
        <f ca="1">_xlfn.XLOOKUP($F33,'Physical Condition Assessment'!$U$10:$U$172,'Physical Condition Assessment'!AV$10:AV$172,"MISSING",0)</f>
        <v>0</v>
      </c>
      <c r="L33" s="471">
        <f ca="1">_xlfn.XLOOKUP($F33,'Physical Condition Assessment'!$U$10:$U$172,'Physical Condition Assessment'!AW$10:AW$172,"MISSING",0)</f>
        <v>0</v>
      </c>
      <c r="M33" s="471">
        <f ca="1">_xlfn.XLOOKUP($F33,'Physical Condition Assessment'!$U$10:$U$172,'Physical Condition Assessment'!AX$10:AX$172,"MISSING",0)</f>
        <v>0</v>
      </c>
      <c r="N33" s="471">
        <f ca="1">_xlfn.XLOOKUP($F33,'Physical Condition Assessment'!$U$10:$U$172,'Physical Condition Assessment'!AY$10:AY$172,"MISSING",0)</f>
        <v>0</v>
      </c>
    </row>
    <row r="34" spans="1:14" x14ac:dyDescent="0.2">
      <c r="A34" s="502">
        <f>'Base Information Sheet'!$B$5</f>
        <v>0</v>
      </c>
      <c r="B34" s="502" t="str">
        <f>_xlfn.XLOOKUP($F34,'Physical Condition Assessment'!$U$10:$U$172,'Physical Condition Assessment'!A$10:A$172,"MISSING",0)</f>
        <v>C    INTERIORS</v>
      </c>
      <c r="C34" s="502" t="str">
        <f>_xlfn.XLOOKUP($F34,'Physical Condition Assessment'!$U$10:$U$172,'Physical Condition Assessment'!B$10:B$172,"MISSING",0)</f>
        <v>C30 Interior Finishes</v>
      </c>
      <c r="D34" s="502" t="str">
        <f>_xlfn.XLOOKUP($F34,'Physical Condition Assessment'!$U$10:$U$172,'Physical Condition Assessment'!C$10:C$172,"MISSING",0)</f>
        <v>C3020 Floor Finishes</v>
      </c>
      <c r="E34" s="502" t="str">
        <f>_xlfn.XLOOKUP($F34,'Physical Condition Assessment'!$U$10:$U$172,'Physical Condition Assessment'!D$10:D$172,"MISSING",0)</f>
        <v>Carpet / Soft Surface</v>
      </c>
      <c r="F34" s="502" t="s">
        <v>206</v>
      </c>
      <c r="G34" s="502" t="str">
        <f>_xlfn.XLOOKUP($F34,'Physical Condition Assessment'!$U$10:$U$172,'Physical Condition Assessment'!V$10:V$172,"MISSING",0)</f>
        <v>Flooring</v>
      </c>
      <c r="H34" s="471">
        <f>_xlfn.XLOOKUP($F34,'Physical Condition Assessment'!$U$10:$U$172,'Physical Condition Assessment'!S$10:S$172,"MISSING",0)</f>
        <v>0</v>
      </c>
      <c r="I34" s="471">
        <f>_xlfn.XLOOKUP($F34,'Physical Condition Assessment'!$U$10:$U$172,'Physical Condition Assessment'!AP$10:AP$172,"MISSING",0)</f>
        <v>0</v>
      </c>
      <c r="J34" s="525" t="e">
        <f t="shared" si="1"/>
        <v>#DIV/0!</v>
      </c>
      <c r="K34" s="471">
        <f ca="1">_xlfn.XLOOKUP($F34,'Physical Condition Assessment'!$U$10:$U$172,'Physical Condition Assessment'!AV$10:AV$172,"MISSING",0)</f>
        <v>0</v>
      </c>
      <c r="L34" s="471">
        <f ca="1">_xlfn.XLOOKUP($F34,'Physical Condition Assessment'!$U$10:$U$172,'Physical Condition Assessment'!AW$10:AW$172,"MISSING",0)</f>
        <v>0</v>
      </c>
      <c r="M34" s="471">
        <f ca="1">_xlfn.XLOOKUP($F34,'Physical Condition Assessment'!$U$10:$U$172,'Physical Condition Assessment'!AX$10:AX$172,"MISSING",0)</f>
        <v>0</v>
      </c>
      <c r="N34" s="471">
        <f ca="1">_xlfn.XLOOKUP($F34,'Physical Condition Assessment'!$U$10:$U$172,'Physical Condition Assessment'!AY$10:AY$172,"MISSING",0)</f>
        <v>0</v>
      </c>
    </row>
    <row r="35" spans="1:14" x14ac:dyDescent="0.2">
      <c r="A35" s="502">
        <f>'Base Information Sheet'!$B$5</f>
        <v>0</v>
      </c>
      <c r="B35" s="502" t="str">
        <f>_xlfn.XLOOKUP($F35,'Physical Condition Assessment'!$U$10:$U$172,'Physical Condition Assessment'!A$10:A$172,"MISSING",0)</f>
        <v>C    INTERIORS</v>
      </c>
      <c r="C35" s="502" t="str">
        <f>_xlfn.XLOOKUP($F35,'Physical Condition Assessment'!$U$10:$U$172,'Physical Condition Assessment'!B$10:B$172,"MISSING",0)</f>
        <v>C30 Interior Finishes</v>
      </c>
      <c r="D35" s="502" t="str">
        <f>_xlfn.XLOOKUP($F35,'Physical Condition Assessment'!$U$10:$U$172,'Physical Condition Assessment'!C$10:C$172,"MISSING",0)</f>
        <v>C3020 Floor Finishes</v>
      </c>
      <c r="E35" s="502" t="str">
        <f>_xlfn.XLOOKUP($F35,'Physical Condition Assessment'!$U$10:$U$172,'Physical Condition Assessment'!D$10:D$172,"MISSING",0)</f>
        <v>Ceramic Tile</v>
      </c>
      <c r="F35" s="502" t="s">
        <v>214</v>
      </c>
      <c r="G35" s="502" t="str">
        <f>_xlfn.XLOOKUP($F35,'Physical Condition Assessment'!$U$10:$U$172,'Physical Condition Assessment'!V$10:V$172,"MISSING",0)</f>
        <v>Flooring</v>
      </c>
      <c r="H35" s="471">
        <f>_xlfn.XLOOKUP($F35,'Physical Condition Assessment'!$U$10:$U$172,'Physical Condition Assessment'!S$10:S$172,"MISSING",0)</f>
        <v>0</v>
      </c>
      <c r="I35" s="471">
        <f>_xlfn.XLOOKUP($F35,'Physical Condition Assessment'!$U$10:$U$172,'Physical Condition Assessment'!AP$10:AP$172,"MISSING",0)</f>
        <v>0</v>
      </c>
      <c r="J35" s="525" t="e">
        <f t="shared" si="1"/>
        <v>#DIV/0!</v>
      </c>
      <c r="K35" s="471">
        <f ca="1">_xlfn.XLOOKUP($F35,'Physical Condition Assessment'!$U$10:$U$172,'Physical Condition Assessment'!AV$10:AV$172,"MISSING",0)</f>
        <v>0</v>
      </c>
      <c r="L35" s="471">
        <f ca="1">_xlfn.XLOOKUP($F35,'Physical Condition Assessment'!$U$10:$U$172,'Physical Condition Assessment'!AW$10:AW$172,"MISSING",0)</f>
        <v>0</v>
      </c>
      <c r="M35" s="471">
        <f ca="1">_xlfn.XLOOKUP($F35,'Physical Condition Assessment'!$U$10:$U$172,'Physical Condition Assessment'!AX$10:AX$172,"MISSING",0)</f>
        <v>0</v>
      </c>
      <c r="N35" s="471">
        <f ca="1">_xlfn.XLOOKUP($F35,'Physical Condition Assessment'!$U$10:$U$172,'Physical Condition Assessment'!AY$10:AY$172,"MISSING",0)</f>
        <v>0</v>
      </c>
    </row>
    <row r="36" spans="1:14" x14ac:dyDescent="0.2">
      <c r="A36" s="502">
        <f>'Base Information Sheet'!$B$5</f>
        <v>0</v>
      </c>
      <c r="B36" s="502" t="str">
        <f>_xlfn.XLOOKUP($F36,'Physical Condition Assessment'!$U$10:$U$172,'Physical Condition Assessment'!A$10:A$172,"MISSING",0)</f>
        <v>C    INTERIORS</v>
      </c>
      <c r="C36" s="502" t="str">
        <f>_xlfn.XLOOKUP($F36,'Physical Condition Assessment'!$U$10:$U$172,'Physical Condition Assessment'!B$10:B$172,"MISSING",0)</f>
        <v>C30 Interior Finishes</v>
      </c>
      <c r="D36" s="502" t="str">
        <f>_xlfn.XLOOKUP($F36,'Physical Condition Assessment'!$U$10:$U$172,'Physical Condition Assessment'!C$10:C$172,"MISSING",0)</f>
        <v>C3020 Floor Finishes</v>
      </c>
      <c r="E36" s="502" t="str">
        <f>_xlfn.XLOOKUP($F36,'Physical Condition Assessment'!$U$10:$U$172,'Physical Condition Assessment'!D$10:D$172,"MISSING",0)</f>
        <v>Liquid Applied</v>
      </c>
      <c r="F36" s="502" t="s">
        <v>216</v>
      </c>
      <c r="G36" s="502" t="str">
        <f>_xlfn.XLOOKUP($F36,'Physical Condition Assessment'!$U$10:$U$172,'Physical Condition Assessment'!V$10:V$172,"MISSING",0)</f>
        <v>Flooring</v>
      </c>
      <c r="H36" s="471">
        <f>_xlfn.XLOOKUP($F36,'Physical Condition Assessment'!$U$10:$U$172,'Physical Condition Assessment'!S$10:S$172,"MISSING",0)</f>
        <v>0</v>
      </c>
      <c r="I36" s="471">
        <f>_xlfn.XLOOKUP($F36,'Physical Condition Assessment'!$U$10:$U$172,'Physical Condition Assessment'!AP$10:AP$172,"MISSING",0)</f>
        <v>0</v>
      </c>
      <c r="J36" s="525" t="e">
        <f t="shared" si="1"/>
        <v>#DIV/0!</v>
      </c>
      <c r="K36" s="471">
        <f ca="1">_xlfn.XLOOKUP($F36,'Physical Condition Assessment'!$U$10:$U$172,'Physical Condition Assessment'!AV$10:AV$172,"MISSING",0)</f>
        <v>0</v>
      </c>
      <c r="L36" s="471">
        <f ca="1">_xlfn.XLOOKUP($F36,'Physical Condition Assessment'!$U$10:$U$172,'Physical Condition Assessment'!AW$10:AW$172,"MISSING",0)</f>
        <v>0</v>
      </c>
      <c r="M36" s="471">
        <f ca="1">_xlfn.XLOOKUP($F36,'Physical Condition Assessment'!$U$10:$U$172,'Physical Condition Assessment'!AX$10:AX$172,"MISSING",0)</f>
        <v>0</v>
      </c>
      <c r="N36" s="471">
        <f ca="1">_xlfn.XLOOKUP($F36,'Physical Condition Assessment'!$U$10:$U$172,'Physical Condition Assessment'!AY$10:AY$172,"MISSING",0)</f>
        <v>0</v>
      </c>
    </row>
    <row r="37" spans="1:14" x14ac:dyDescent="0.2">
      <c r="A37" s="502">
        <f>'Base Information Sheet'!$B$5</f>
        <v>0</v>
      </c>
      <c r="B37" s="502" t="str">
        <f>_xlfn.XLOOKUP($F37,'Physical Condition Assessment'!$U$10:$U$172,'Physical Condition Assessment'!A$10:A$172,"MISSING",0)</f>
        <v>C    INTERIORS</v>
      </c>
      <c r="C37" s="502" t="str">
        <f>_xlfn.XLOOKUP($F37,'Physical Condition Assessment'!$U$10:$U$172,'Physical Condition Assessment'!B$10:B$172,"MISSING",0)</f>
        <v>C30 Interior Finishes</v>
      </c>
      <c r="D37" s="502" t="str">
        <f>_xlfn.XLOOKUP($F37,'Physical Condition Assessment'!$U$10:$U$172,'Physical Condition Assessment'!C$10:C$172,"MISSING",0)</f>
        <v>C3020 Floor Finishes</v>
      </c>
      <c r="E37" s="502" t="str">
        <f>_xlfn.XLOOKUP($F37,'Physical Condition Assessment'!$U$10:$U$172,'Physical Condition Assessment'!D$10:D$172,"MISSING",0)</f>
        <v>Polished Concrete</v>
      </c>
      <c r="F37" s="502" t="s">
        <v>213</v>
      </c>
      <c r="G37" s="502" t="str">
        <f>_xlfn.XLOOKUP($F37,'Physical Condition Assessment'!$U$10:$U$172,'Physical Condition Assessment'!V$10:V$172,"MISSING",0)</f>
        <v>Flooring</v>
      </c>
      <c r="H37" s="471">
        <f>_xlfn.XLOOKUP($F37,'Physical Condition Assessment'!$U$10:$U$172,'Physical Condition Assessment'!S$10:S$172,"MISSING",0)</f>
        <v>0</v>
      </c>
      <c r="I37" s="471">
        <f>_xlfn.XLOOKUP($F37,'Physical Condition Assessment'!$U$10:$U$172,'Physical Condition Assessment'!AP$10:AP$172,"MISSING",0)</f>
        <v>0</v>
      </c>
      <c r="J37" s="525" t="e">
        <f t="shared" si="1"/>
        <v>#DIV/0!</v>
      </c>
      <c r="K37" s="471">
        <f ca="1">_xlfn.XLOOKUP($F37,'Physical Condition Assessment'!$U$10:$U$172,'Physical Condition Assessment'!AV$10:AV$172,"MISSING",0)</f>
        <v>0</v>
      </c>
      <c r="L37" s="471">
        <f ca="1">_xlfn.XLOOKUP($F37,'Physical Condition Assessment'!$U$10:$U$172,'Physical Condition Assessment'!AW$10:AW$172,"MISSING",0)</f>
        <v>0</v>
      </c>
      <c r="M37" s="471">
        <f ca="1">_xlfn.XLOOKUP($F37,'Physical Condition Assessment'!$U$10:$U$172,'Physical Condition Assessment'!AX$10:AX$172,"MISSING",0)</f>
        <v>0</v>
      </c>
      <c r="N37" s="471">
        <f ca="1">_xlfn.XLOOKUP($F37,'Physical Condition Assessment'!$U$10:$U$172,'Physical Condition Assessment'!AY$10:AY$172,"MISSING",0)</f>
        <v>0</v>
      </c>
    </row>
    <row r="38" spans="1:14" x14ac:dyDescent="0.2">
      <c r="A38" s="502">
        <f>'Base Information Sheet'!$B$5</f>
        <v>0</v>
      </c>
      <c r="B38" s="502" t="str">
        <f>_xlfn.XLOOKUP($F38,'Physical Condition Assessment'!$U$10:$U$172,'Physical Condition Assessment'!A$10:A$172,"MISSING",0)</f>
        <v>C    INTERIORS</v>
      </c>
      <c r="C38" s="502" t="str">
        <f>_xlfn.XLOOKUP($F38,'Physical Condition Assessment'!$U$10:$U$172,'Physical Condition Assessment'!B$10:B$172,"MISSING",0)</f>
        <v>C30 Interior Finishes</v>
      </c>
      <c r="D38" s="502" t="str">
        <f>_xlfn.XLOOKUP($F38,'Physical Condition Assessment'!$U$10:$U$172,'Physical Condition Assessment'!C$10:C$172,"MISSING",0)</f>
        <v>C3020 Floor Finishes</v>
      </c>
      <c r="E38" s="502" t="str">
        <f>_xlfn.XLOOKUP($F38,'Physical Condition Assessment'!$U$10:$U$172,'Physical Condition Assessment'!D$10:D$172,"MISSING",0)</f>
        <v>Resilient Sheet</v>
      </c>
      <c r="F38" s="502" t="s">
        <v>211</v>
      </c>
      <c r="G38" s="502" t="str">
        <f>_xlfn.XLOOKUP($F38,'Physical Condition Assessment'!$U$10:$U$172,'Physical Condition Assessment'!V$10:V$172,"MISSING",0)</f>
        <v>Flooring</v>
      </c>
      <c r="H38" s="471">
        <f>_xlfn.XLOOKUP($F38,'Physical Condition Assessment'!$U$10:$U$172,'Physical Condition Assessment'!S$10:S$172,"MISSING",0)</f>
        <v>0</v>
      </c>
      <c r="I38" s="471">
        <f>_xlfn.XLOOKUP($F38,'Physical Condition Assessment'!$U$10:$U$172,'Physical Condition Assessment'!AP$10:AP$172,"MISSING",0)</f>
        <v>0</v>
      </c>
      <c r="J38" s="525" t="e">
        <f t="shared" si="1"/>
        <v>#DIV/0!</v>
      </c>
      <c r="K38" s="471">
        <f ca="1">_xlfn.XLOOKUP($F38,'Physical Condition Assessment'!$U$10:$U$172,'Physical Condition Assessment'!AV$10:AV$172,"MISSING",0)</f>
        <v>0</v>
      </c>
      <c r="L38" s="471">
        <f ca="1">_xlfn.XLOOKUP($F38,'Physical Condition Assessment'!$U$10:$U$172,'Physical Condition Assessment'!AW$10:AW$172,"MISSING",0)</f>
        <v>0</v>
      </c>
      <c r="M38" s="471">
        <f ca="1">_xlfn.XLOOKUP($F38,'Physical Condition Assessment'!$U$10:$U$172,'Physical Condition Assessment'!AX$10:AX$172,"MISSING",0)</f>
        <v>0</v>
      </c>
      <c r="N38" s="471">
        <f ca="1">_xlfn.XLOOKUP($F38,'Physical Condition Assessment'!$U$10:$U$172,'Physical Condition Assessment'!AY$10:AY$172,"MISSING",0)</f>
        <v>0</v>
      </c>
    </row>
    <row r="39" spans="1:14" x14ac:dyDescent="0.2">
      <c r="A39" s="502">
        <f>'Base Information Sheet'!$B$5</f>
        <v>0</v>
      </c>
      <c r="B39" s="502" t="str">
        <f>_xlfn.XLOOKUP($F39,'Physical Condition Assessment'!$U$10:$U$172,'Physical Condition Assessment'!A$10:A$172,"MISSING",0)</f>
        <v>C    INTERIORS</v>
      </c>
      <c r="C39" s="502" t="str">
        <f>_xlfn.XLOOKUP($F39,'Physical Condition Assessment'!$U$10:$U$172,'Physical Condition Assessment'!B$10:B$172,"MISSING",0)</f>
        <v>C30 Interior Finishes</v>
      </c>
      <c r="D39" s="502" t="str">
        <f>_xlfn.XLOOKUP($F39,'Physical Condition Assessment'!$U$10:$U$172,'Physical Condition Assessment'!C$10:C$172,"MISSING",0)</f>
        <v>C3020 Floor Finishes</v>
      </c>
      <c r="E39" s="502" t="str">
        <f>_xlfn.XLOOKUP($F39,'Physical Condition Assessment'!$U$10:$U$172,'Physical Condition Assessment'!D$10:D$172,"MISSING",0)</f>
        <v>Resilient Tile</v>
      </c>
      <c r="F39" s="502" t="s">
        <v>209</v>
      </c>
      <c r="G39" s="502" t="str">
        <f>_xlfn.XLOOKUP($F39,'Physical Condition Assessment'!$U$10:$U$172,'Physical Condition Assessment'!V$10:V$172,"MISSING",0)</f>
        <v>Flooring</v>
      </c>
      <c r="H39" s="471">
        <f>_xlfn.XLOOKUP($F39,'Physical Condition Assessment'!$U$10:$U$172,'Physical Condition Assessment'!S$10:S$172,"MISSING",0)</f>
        <v>0</v>
      </c>
      <c r="I39" s="471">
        <f>_xlfn.XLOOKUP($F39,'Physical Condition Assessment'!$U$10:$U$172,'Physical Condition Assessment'!AP$10:AP$172,"MISSING",0)</f>
        <v>0</v>
      </c>
      <c r="J39" s="525" t="e">
        <f t="shared" si="1"/>
        <v>#DIV/0!</v>
      </c>
      <c r="K39" s="471">
        <f ca="1">_xlfn.XLOOKUP($F39,'Physical Condition Assessment'!$U$10:$U$172,'Physical Condition Assessment'!AV$10:AV$172,"MISSING",0)</f>
        <v>0</v>
      </c>
      <c r="L39" s="471">
        <f ca="1">_xlfn.XLOOKUP($F39,'Physical Condition Assessment'!$U$10:$U$172,'Physical Condition Assessment'!AW$10:AW$172,"MISSING",0)</f>
        <v>0</v>
      </c>
      <c r="M39" s="471">
        <f ca="1">_xlfn.XLOOKUP($F39,'Physical Condition Assessment'!$U$10:$U$172,'Physical Condition Assessment'!AX$10:AX$172,"MISSING",0)</f>
        <v>0</v>
      </c>
      <c r="N39" s="471">
        <f ca="1">_xlfn.XLOOKUP($F39,'Physical Condition Assessment'!$U$10:$U$172,'Physical Condition Assessment'!AY$10:AY$172,"MISSING",0)</f>
        <v>0</v>
      </c>
    </row>
    <row r="40" spans="1:14" x14ac:dyDescent="0.2">
      <c r="A40" s="502">
        <f>'Base Information Sheet'!$B$5</f>
        <v>0</v>
      </c>
      <c r="B40" s="502" t="str">
        <f>_xlfn.XLOOKUP($F40,'Physical Condition Assessment'!$U$10:$U$172,'Physical Condition Assessment'!A$10:A$172,"MISSING",0)</f>
        <v>C    INTERIORS</v>
      </c>
      <c r="C40" s="502" t="str">
        <f>_xlfn.XLOOKUP($F40,'Physical Condition Assessment'!$U$10:$U$172,'Physical Condition Assessment'!B$10:B$172,"MISSING",0)</f>
        <v>C30 Interior Finishes</v>
      </c>
      <c r="D40" s="502" t="str">
        <f>_xlfn.XLOOKUP($F40,'Physical Condition Assessment'!$U$10:$U$172,'Physical Condition Assessment'!C$10:C$172,"MISSING",0)</f>
        <v>C3020 Floor Finishes</v>
      </c>
      <c r="E40" s="502" t="str">
        <f>_xlfn.XLOOKUP($F40,'Physical Condition Assessment'!$U$10:$U$172,'Physical Condition Assessment'!D$10:D$172,"MISSING",0)</f>
        <v>Wood Sports Floor</v>
      </c>
      <c r="F40" s="502" t="s">
        <v>218</v>
      </c>
      <c r="G40" s="502" t="str">
        <f>_xlfn.XLOOKUP($F40,'Physical Condition Assessment'!$U$10:$U$172,'Physical Condition Assessment'!V$10:V$172,"MISSING",0)</f>
        <v>Flooring</v>
      </c>
      <c r="H40" s="471">
        <f>_xlfn.XLOOKUP($F40,'Physical Condition Assessment'!$U$10:$U$172,'Physical Condition Assessment'!S$10:S$172,"MISSING",0)</f>
        <v>0</v>
      </c>
      <c r="I40" s="471">
        <f>_xlfn.XLOOKUP($F40,'Physical Condition Assessment'!$U$10:$U$172,'Physical Condition Assessment'!AP$10:AP$172,"MISSING",0)</f>
        <v>0</v>
      </c>
      <c r="J40" s="525" t="e">
        <f t="shared" si="1"/>
        <v>#DIV/0!</v>
      </c>
      <c r="K40" s="471">
        <f ca="1">_xlfn.XLOOKUP($F40,'Physical Condition Assessment'!$U$10:$U$172,'Physical Condition Assessment'!AV$10:AV$172,"MISSING",0)</f>
        <v>0</v>
      </c>
      <c r="L40" s="471">
        <f ca="1">_xlfn.XLOOKUP($F40,'Physical Condition Assessment'!$U$10:$U$172,'Physical Condition Assessment'!AW$10:AW$172,"MISSING",0)</f>
        <v>0</v>
      </c>
      <c r="M40" s="471">
        <f ca="1">_xlfn.XLOOKUP($F40,'Physical Condition Assessment'!$U$10:$U$172,'Physical Condition Assessment'!AX$10:AX$172,"MISSING",0)</f>
        <v>0</v>
      </c>
      <c r="N40" s="471">
        <f ca="1">_xlfn.XLOOKUP($F40,'Physical Condition Assessment'!$U$10:$U$172,'Physical Condition Assessment'!AY$10:AY$172,"MISSING",0)</f>
        <v>0</v>
      </c>
    </row>
    <row r="41" spans="1:14" x14ac:dyDescent="0.2">
      <c r="A41" s="502">
        <f>'Base Information Sheet'!$B$5</f>
        <v>0</v>
      </c>
      <c r="B41" s="502" t="str">
        <f>_xlfn.XLOOKUP($F41,'Physical Condition Assessment'!$U$10:$U$172,'Physical Condition Assessment'!A$10:A$172,"MISSING",0)</f>
        <v>A    SUBSTRUCTURE</v>
      </c>
      <c r="C41" s="502" t="str">
        <f>_xlfn.XLOOKUP($F41,'Physical Condition Assessment'!$U$10:$U$172,'Physical Condition Assessment'!B$10:B$172,"MISSING",0)</f>
        <v>A10 Foundations</v>
      </c>
      <c r="D41" s="502" t="str">
        <f>_xlfn.XLOOKUP($F41,'Physical Condition Assessment'!$U$10:$U$172,'Physical Condition Assessment'!C$10:C$172,"MISSING",0)</f>
        <v>A1010 Standard Foundations</v>
      </c>
      <c r="E41" s="502">
        <f>_xlfn.XLOOKUP($F41,'Physical Condition Assessment'!$U$10:$U$172,'Physical Condition Assessment'!D$10:D$172,"MISSING",0)</f>
        <v>0</v>
      </c>
      <c r="F41" s="502" t="s">
        <v>69</v>
      </c>
      <c r="G41" s="502" t="str">
        <f>_xlfn.XLOOKUP($F41,'Physical Condition Assessment'!$U$10:$U$172,'Physical Condition Assessment'!V$10:V$172,"MISSING",0)</f>
        <v>Foundation</v>
      </c>
      <c r="H41" s="471">
        <f>_xlfn.XLOOKUP($F41,'Physical Condition Assessment'!$U$10:$U$172,'Physical Condition Assessment'!S$10:S$172,"MISSING",0)</f>
        <v>0</v>
      </c>
      <c r="I41" s="471">
        <f>_xlfn.XLOOKUP($F41,'Physical Condition Assessment'!$U$10:$U$172,'Physical Condition Assessment'!AP$10:AP$172,"MISSING",0)</f>
        <v>0</v>
      </c>
      <c r="J41" s="525" t="e">
        <f t="shared" si="1"/>
        <v>#DIV/0!</v>
      </c>
      <c r="K41" s="471">
        <f ca="1">_xlfn.XLOOKUP($F41,'Physical Condition Assessment'!$U$10:$U$172,'Physical Condition Assessment'!AV$10:AV$172,"MISSING",0)</f>
        <v>0</v>
      </c>
      <c r="L41" s="471">
        <f ca="1">_xlfn.XLOOKUP($F41,'Physical Condition Assessment'!$U$10:$U$172,'Physical Condition Assessment'!AW$10:AW$172,"MISSING",0)</f>
        <v>0</v>
      </c>
      <c r="M41" s="471">
        <f ca="1">_xlfn.XLOOKUP($F41,'Physical Condition Assessment'!$U$10:$U$172,'Physical Condition Assessment'!AX$10:AX$172,"MISSING",0)</f>
        <v>0</v>
      </c>
      <c r="N41" s="471">
        <f ca="1">_xlfn.XLOOKUP($F41,'Physical Condition Assessment'!$U$10:$U$172,'Physical Condition Assessment'!AY$10:AY$172,"MISSING",0)</f>
        <v>0</v>
      </c>
    </row>
    <row r="42" spans="1:14" x14ac:dyDescent="0.2">
      <c r="A42" s="502">
        <f>'Base Information Sheet'!$B$5</f>
        <v>0</v>
      </c>
      <c r="B42" s="502" t="str">
        <f>_xlfn.XLOOKUP($F42,'Physical Condition Assessment'!$U$10:$U$172,'Physical Condition Assessment'!A$10:A$172,"MISSING",0)</f>
        <v>A    SUBSTRUCTURE</v>
      </c>
      <c r="C42" s="502" t="str">
        <f>_xlfn.XLOOKUP($F42,'Physical Condition Assessment'!$U$10:$U$172,'Physical Condition Assessment'!B$10:B$172,"MISSING",0)</f>
        <v>A10 Foundations</v>
      </c>
      <c r="D42" s="502" t="str">
        <f>_xlfn.XLOOKUP($F42,'Physical Condition Assessment'!$U$10:$U$172,'Physical Condition Assessment'!C$10:C$172,"MISSING",0)</f>
        <v>A1020 Special Foundations</v>
      </c>
      <c r="E42" s="502">
        <f>_xlfn.XLOOKUP($F42,'Physical Condition Assessment'!$U$10:$U$172,'Physical Condition Assessment'!D$10:D$172,"MISSING",0)</f>
        <v>0</v>
      </c>
      <c r="F42" s="502" t="s">
        <v>74</v>
      </c>
      <c r="G42" s="502" t="str">
        <f>_xlfn.XLOOKUP($F42,'Physical Condition Assessment'!$U$10:$U$172,'Physical Condition Assessment'!V$10:V$172,"MISSING",0)</f>
        <v>Foundation</v>
      </c>
      <c r="H42" s="471">
        <f>_xlfn.XLOOKUP($F42,'Physical Condition Assessment'!$U$10:$U$172,'Physical Condition Assessment'!S$10:S$172,"MISSING",0)</f>
        <v>0</v>
      </c>
      <c r="I42" s="471">
        <f>_xlfn.XLOOKUP($F42,'Physical Condition Assessment'!$U$10:$U$172,'Physical Condition Assessment'!AP$10:AP$172,"MISSING",0)</f>
        <v>0</v>
      </c>
      <c r="J42" s="525" t="e">
        <f t="shared" si="1"/>
        <v>#DIV/0!</v>
      </c>
      <c r="K42" s="471">
        <f ca="1">_xlfn.XLOOKUP($F42,'Physical Condition Assessment'!$U$10:$U$172,'Physical Condition Assessment'!AV$10:AV$172,"MISSING",0)</f>
        <v>0</v>
      </c>
      <c r="L42" s="471">
        <f ca="1">_xlfn.XLOOKUP($F42,'Physical Condition Assessment'!$U$10:$U$172,'Physical Condition Assessment'!AW$10:AW$172,"MISSING",0)</f>
        <v>0</v>
      </c>
      <c r="M42" s="471">
        <f ca="1">_xlfn.XLOOKUP($F42,'Physical Condition Assessment'!$U$10:$U$172,'Physical Condition Assessment'!AX$10:AX$172,"MISSING",0)</f>
        <v>0</v>
      </c>
      <c r="N42" s="471">
        <f ca="1">_xlfn.XLOOKUP($F42,'Physical Condition Assessment'!$U$10:$U$172,'Physical Condition Assessment'!AY$10:AY$172,"MISSING",0)</f>
        <v>0</v>
      </c>
    </row>
    <row r="43" spans="1:14" x14ac:dyDescent="0.2">
      <c r="A43" s="502">
        <f>'Base Information Sheet'!$B$5</f>
        <v>0</v>
      </c>
      <c r="B43" s="502" t="str">
        <f>_xlfn.XLOOKUP($F43,'Physical Condition Assessment'!$U$10:$U$172,'Physical Condition Assessment'!A$10:A$172,"MISSING",0)</f>
        <v>A    SUBSTRUCTURE</v>
      </c>
      <c r="C43" s="502" t="str">
        <f>_xlfn.XLOOKUP($F43,'Physical Condition Assessment'!$U$10:$U$172,'Physical Condition Assessment'!B$10:B$172,"MISSING",0)</f>
        <v>A10 Foundations</v>
      </c>
      <c r="D43" s="502" t="str">
        <f>_xlfn.XLOOKUP($F43,'Physical Condition Assessment'!$U$10:$U$172,'Physical Condition Assessment'!C$10:C$172,"MISSING",0)</f>
        <v>A1030 Slab on Grade</v>
      </c>
      <c r="E43" s="502">
        <f>_xlfn.XLOOKUP($F43,'Physical Condition Assessment'!$U$10:$U$172,'Physical Condition Assessment'!D$10:D$172,"MISSING",0)</f>
        <v>0</v>
      </c>
      <c r="F43" s="502" t="s">
        <v>76</v>
      </c>
      <c r="G43" s="502" t="str">
        <f>_xlfn.XLOOKUP($F43,'Physical Condition Assessment'!$U$10:$U$172,'Physical Condition Assessment'!V$10:V$172,"MISSING",0)</f>
        <v>Foundation</v>
      </c>
      <c r="H43" s="471">
        <f>_xlfn.XLOOKUP($F43,'Physical Condition Assessment'!$U$10:$U$172,'Physical Condition Assessment'!S$10:S$172,"MISSING",0)</f>
        <v>0</v>
      </c>
      <c r="I43" s="471">
        <f>_xlfn.XLOOKUP($F43,'Physical Condition Assessment'!$U$10:$U$172,'Physical Condition Assessment'!AP$10:AP$172,"MISSING",0)</f>
        <v>0</v>
      </c>
      <c r="J43" s="525" t="e">
        <f t="shared" si="1"/>
        <v>#DIV/0!</v>
      </c>
      <c r="K43" s="471">
        <f ca="1">_xlfn.XLOOKUP($F43,'Physical Condition Assessment'!$U$10:$U$172,'Physical Condition Assessment'!AV$10:AV$172,"MISSING",0)</f>
        <v>0</v>
      </c>
      <c r="L43" s="471">
        <f ca="1">_xlfn.XLOOKUP($F43,'Physical Condition Assessment'!$U$10:$U$172,'Physical Condition Assessment'!AW$10:AW$172,"MISSING",0)</f>
        <v>0</v>
      </c>
      <c r="M43" s="471">
        <f ca="1">_xlfn.XLOOKUP($F43,'Physical Condition Assessment'!$U$10:$U$172,'Physical Condition Assessment'!AX$10:AX$172,"MISSING",0)</f>
        <v>0</v>
      </c>
      <c r="N43" s="471">
        <f ca="1">_xlfn.XLOOKUP($F43,'Physical Condition Assessment'!$U$10:$U$172,'Physical Condition Assessment'!AY$10:AY$172,"MISSING",0)</f>
        <v>0</v>
      </c>
    </row>
    <row r="44" spans="1:14" x14ac:dyDescent="0.2">
      <c r="A44" s="502">
        <f>'Base Information Sheet'!$B$5</f>
        <v>0</v>
      </c>
      <c r="B44" s="502" t="str">
        <f>_xlfn.XLOOKUP($F44,'Physical Condition Assessment'!$U$10:$U$172,'Physical Condition Assessment'!A$10:A$172,"MISSING",0)</f>
        <v>A    SUBSTRUCTURE</v>
      </c>
      <c r="C44" s="502" t="str">
        <f>_xlfn.XLOOKUP($F44,'Physical Condition Assessment'!$U$10:$U$172,'Physical Condition Assessment'!B$10:B$172,"MISSING",0)</f>
        <v>A10 Foundations</v>
      </c>
      <c r="D44" s="502" t="str">
        <f>_xlfn.XLOOKUP($F44,'Physical Condition Assessment'!$U$10:$U$172,'Physical Condition Assessment'!C$10:C$172,"MISSING",0)</f>
        <v>A2020 Basement Walls</v>
      </c>
      <c r="E44" s="502">
        <f>_xlfn.XLOOKUP($F44,'Physical Condition Assessment'!$U$10:$U$172,'Physical Condition Assessment'!D$10:D$172,"MISSING",0)</f>
        <v>0</v>
      </c>
      <c r="F44" s="502" t="s">
        <v>80</v>
      </c>
      <c r="G44" s="502" t="str">
        <f>_xlfn.XLOOKUP($F44,'Physical Condition Assessment'!$U$10:$U$172,'Physical Condition Assessment'!V$10:V$172,"MISSING",0)</f>
        <v>Foundation</v>
      </c>
      <c r="H44" s="471">
        <f>_xlfn.XLOOKUP($F44,'Physical Condition Assessment'!$U$10:$U$172,'Physical Condition Assessment'!S$10:S$172,"MISSING",0)</f>
        <v>0</v>
      </c>
      <c r="I44" s="471">
        <f>_xlfn.XLOOKUP($F44,'Physical Condition Assessment'!$U$10:$U$172,'Physical Condition Assessment'!AP$10:AP$172,"MISSING",0)</f>
        <v>0</v>
      </c>
      <c r="J44" s="525" t="e">
        <f t="shared" si="1"/>
        <v>#DIV/0!</v>
      </c>
      <c r="K44" s="471">
        <f ca="1">_xlfn.XLOOKUP($F44,'Physical Condition Assessment'!$U$10:$U$172,'Physical Condition Assessment'!AV$10:AV$172,"MISSING",0)</f>
        <v>0</v>
      </c>
      <c r="L44" s="471">
        <f ca="1">_xlfn.XLOOKUP($F44,'Physical Condition Assessment'!$U$10:$U$172,'Physical Condition Assessment'!AW$10:AW$172,"MISSING",0)</f>
        <v>0</v>
      </c>
      <c r="M44" s="471">
        <f ca="1">_xlfn.XLOOKUP($F44,'Physical Condition Assessment'!$U$10:$U$172,'Physical Condition Assessment'!AX$10:AX$172,"MISSING",0)</f>
        <v>0</v>
      </c>
      <c r="N44" s="471">
        <f ca="1">_xlfn.XLOOKUP($F44,'Physical Condition Assessment'!$U$10:$U$172,'Physical Condition Assessment'!AY$10:AY$172,"MISSING",0)</f>
        <v>0</v>
      </c>
    </row>
    <row r="45" spans="1:14" x14ac:dyDescent="0.2">
      <c r="A45" s="502">
        <f>'Base Information Sheet'!$B$5</f>
        <v>0</v>
      </c>
      <c r="B45" s="502" t="str">
        <f>_xlfn.XLOOKUP($F45,'Physical Condition Assessment'!$U$10:$U$172,'Physical Condition Assessment'!A$10:A$172,"MISSING",0)</f>
        <v>E   EQUIPMENT &amp; FURNISHINGS</v>
      </c>
      <c r="C45" s="502" t="str">
        <f>_xlfn.XLOOKUP($F45,'Physical Condition Assessment'!$U$10:$U$172,'Physical Condition Assessment'!B$10:B$172,"MISSING",0)</f>
        <v>E10 Equipment</v>
      </c>
      <c r="D45" s="502" t="str">
        <f>_xlfn.XLOOKUP($F45,'Physical Condition Assessment'!$U$10:$U$172,'Physical Condition Assessment'!C$10:C$172,"MISSING",0)</f>
        <v>E1010 Commercial Equipment</v>
      </c>
      <c r="E45" s="502" t="str">
        <f>_xlfn.XLOOKUP($F45,'Physical Condition Assessment'!$U$10:$U$172,'Physical Condition Assessment'!D$10:D$172,"MISSING",0)</f>
        <v>Food Service</v>
      </c>
      <c r="F45" s="502" t="s">
        <v>325</v>
      </c>
      <c r="G45" s="502" t="str">
        <f>_xlfn.XLOOKUP($F45,'Physical Condition Assessment'!$U$10:$U$172,'Physical Condition Assessment'!V$10:V$172,"MISSING",0)</f>
        <v>Furnishing, Fixtures, Equipment</v>
      </c>
      <c r="H45" s="471">
        <f>_xlfn.XLOOKUP($F45,'Physical Condition Assessment'!$U$10:$U$172,'Physical Condition Assessment'!S$10:S$172,"MISSING",0)</f>
        <v>0</v>
      </c>
      <c r="I45" s="471">
        <f>_xlfn.XLOOKUP($F45,'Physical Condition Assessment'!$U$10:$U$172,'Physical Condition Assessment'!AP$10:AP$172,"MISSING",0)</f>
        <v>0</v>
      </c>
      <c r="J45" s="525" t="e">
        <f t="shared" si="1"/>
        <v>#DIV/0!</v>
      </c>
      <c r="K45" s="471">
        <f ca="1">_xlfn.XLOOKUP($F45,'Physical Condition Assessment'!$U$10:$U$172,'Physical Condition Assessment'!AV$10:AV$172,"MISSING",0)</f>
        <v>0</v>
      </c>
      <c r="L45" s="471">
        <f ca="1">_xlfn.XLOOKUP($F45,'Physical Condition Assessment'!$U$10:$U$172,'Physical Condition Assessment'!AW$10:AW$172,"MISSING",0)</f>
        <v>0</v>
      </c>
      <c r="M45" s="471">
        <f ca="1">_xlfn.XLOOKUP($F45,'Physical Condition Assessment'!$U$10:$U$172,'Physical Condition Assessment'!AX$10:AX$172,"MISSING",0)</f>
        <v>0</v>
      </c>
      <c r="N45" s="471">
        <f ca="1">_xlfn.XLOOKUP($F45,'Physical Condition Assessment'!$U$10:$U$172,'Physical Condition Assessment'!AY$10:AY$172,"MISSING",0)</f>
        <v>0</v>
      </c>
    </row>
    <row r="46" spans="1:14" x14ac:dyDescent="0.2">
      <c r="A46" s="502">
        <f>'Base Information Sheet'!$B$5</f>
        <v>0</v>
      </c>
      <c r="B46" s="502" t="str">
        <f>_xlfn.XLOOKUP($F46,'Physical Condition Assessment'!$U$10:$U$172,'Physical Condition Assessment'!A$10:A$172,"MISSING",0)</f>
        <v>E   EQUIPMENT &amp; FURNISHINGS</v>
      </c>
      <c r="C46" s="502" t="str">
        <f>_xlfn.XLOOKUP($F46,'Physical Condition Assessment'!$U$10:$U$172,'Physical Condition Assessment'!B$10:B$172,"MISSING",0)</f>
        <v>E10 Equipment</v>
      </c>
      <c r="D46" s="502" t="str">
        <f>_xlfn.XLOOKUP($F46,'Physical Condition Assessment'!$U$10:$U$172,'Physical Condition Assessment'!C$10:C$172,"MISSING",0)</f>
        <v>E1010 Commercial Equipment</v>
      </c>
      <c r="E46" s="502" t="str">
        <f>_xlfn.XLOOKUP($F46,'Physical Condition Assessment'!$U$10:$U$172,'Physical Condition Assessment'!D$10:D$172,"MISSING",0)</f>
        <v>Vocational</v>
      </c>
      <c r="F46" s="502" t="s">
        <v>328</v>
      </c>
      <c r="G46" s="502" t="str">
        <f>_xlfn.XLOOKUP($F46,'Physical Condition Assessment'!$U$10:$U$172,'Physical Condition Assessment'!V$10:V$172,"MISSING",0)</f>
        <v>Furnishing, Fixtures, Equipment</v>
      </c>
      <c r="H46" s="471">
        <f>_xlfn.XLOOKUP($F46,'Physical Condition Assessment'!$U$10:$U$172,'Physical Condition Assessment'!S$10:S$172,"MISSING",0)</f>
        <v>0</v>
      </c>
      <c r="I46" s="471">
        <f>_xlfn.XLOOKUP($F46,'Physical Condition Assessment'!$U$10:$U$172,'Physical Condition Assessment'!AP$10:AP$172,"MISSING",0)</f>
        <v>0</v>
      </c>
      <c r="J46" s="525" t="e">
        <f t="shared" si="1"/>
        <v>#DIV/0!</v>
      </c>
      <c r="K46" s="471">
        <f ca="1">_xlfn.XLOOKUP($F46,'Physical Condition Assessment'!$U$10:$U$172,'Physical Condition Assessment'!AV$10:AV$172,"MISSING",0)</f>
        <v>0</v>
      </c>
      <c r="L46" s="471">
        <f ca="1">_xlfn.XLOOKUP($F46,'Physical Condition Assessment'!$U$10:$U$172,'Physical Condition Assessment'!AW$10:AW$172,"MISSING",0)</f>
        <v>0</v>
      </c>
      <c r="M46" s="471">
        <f ca="1">_xlfn.XLOOKUP($F46,'Physical Condition Assessment'!$U$10:$U$172,'Physical Condition Assessment'!AX$10:AX$172,"MISSING",0)</f>
        <v>0</v>
      </c>
      <c r="N46" s="471">
        <f ca="1">_xlfn.XLOOKUP($F46,'Physical Condition Assessment'!$U$10:$U$172,'Physical Condition Assessment'!AY$10:AY$172,"MISSING",0)</f>
        <v>0</v>
      </c>
    </row>
    <row r="47" spans="1:14" x14ac:dyDescent="0.2">
      <c r="A47" s="502">
        <f>'Base Information Sheet'!$B$5</f>
        <v>0</v>
      </c>
      <c r="B47" s="502" t="str">
        <f>_xlfn.XLOOKUP($F47,'Physical Condition Assessment'!$U$10:$U$172,'Physical Condition Assessment'!A$10:A$172,"MISSING",0)</f>
        <v>E   EQUIPMENT &amp; FURNISHINGS</v>
      </c>
      <c r="C47" s="502" t="str">
        <f>_xlfn.XLOOKUP($F47,'Physical Condition Assessment'!$U$10:$U$172,'Physical Condition Assessment'!B$10:B$172,"MISSING",0)</f>
        <v>E10 Equipment</v>
      </c>
      <c r="D47" s="502" t="str">
        <f>_xlfn.XLOOKUP($F47,'Physical Condition Assessment'!$U$10:$U$172,'Physical Condition Assessment'!C$10:C$172,"MISSING",0)</f>
        <v>E1020 Institutional Equipment</v>
      </c>
      <c r="E47" s="502" t="str">
        <f>_xlfn.XLOOKUP($F47,'Physical Condition Assessment'!$U$10:$U$172,'Physical Condition Assessment'!D$10:D$172,"MISSING",0)</f>
        <v>Art</v>
      </c>
      <c r="F47" s="502" t="s">
        <v>333</v>
      </c>
      <c r="G47" s="502" t="str">
        <f>_xlfn.XLOOKUP($F47,'Physical Condition Assessment'!$U$10:$U$172,'Physical Condition Assessment'!V$10:V$172,"MISSING",0)</f>
        <v>Furnishing, Fixtures, Equipment</v>
      </c>
      <c r="H47" s="471">
        <f>_xlfn.XLOOKUP($F47,'Physical Condition Assessment'!$U$10:$U$172,'Physical Condition Assessment'!S$10:S$172,"MISSING",0)</f>
        <v>0</v>
      </c>
      <c r="I47" s="471">
        <f>_xlfn.XLOOKUP($F47,'Physical Condition Assessment'!$U$10:$U$172,'Physical Condition Assessment'!AP$10:AP$172,"MISSING",0)</f>
        <v>0</v>
      </c>
      <c r="J47" s="525" t="e">
        <f t="shared" si="1"/>
        <v>#DIV/0!</v>
      </c>
      <c r="K47" s="471">
        <f ca="1">_xlfn.XLOOKUP($F47,'Physical Condition Assessment'!$U$10:$U$172,'Physical Condition Assessment'!AV$10:AV$172,"MISSING",0)</f>
        <v>0</v>
      </c>
      <c r="L47" s="471">
        <f ca="1">_xlfn.XLOOKUP($F47,'Physical Condition Assessment'!$U$10:$U$172,'Physical Condition Assessment'!AW$10:AW$172,"MISSING",0)</f>
        <v>0</v>
      </c>
      <c r="M47" s="471">
        <f ca="1">_xlfn.XLOOKUP($F47,'Physical Condition Assessment'!$U$10:$U$172,'Physical Condition Assessment'!AX$10:AX$172,"MISSING",0)</f>
        <v>0</v>
      </c>
      <c r="N47" s="471">
        <f ca="1">_xlfn.XLOOKUP($F47,'Physical Condition Assessment'!$U$10:$U$172,'Physical Condition Assessment'!AY$10:AY$172,"MISSING",0)</f>
        <v>0</v>
      </c>
    </row>
    <row r="48" spans="1:14" x14ac:dyDescent="0.2">
      <c r="A48" s="502">
        <f>'Base Information Sheet'!$B$5</f>
        <v>0</v>
      </c>
      <c r="B48" s="502" t="str">
        <f>_xlfn.XLOOKUP($F48,'Physical Condition Assessment'!$U$10:$U$172,'Physical Condition Assessment'!A$10:A$172,"MISSING",0)</f>
        <v>E   EQUIPMENT &amp; FURNISHINGS</v>
      </c>
      <c r="C48" s="502" t="str">
        <f>_xlfn.XLOOKUP($F48,'Physical Condition Assessment'!$U$10:$U$172,'Physical Condition Assessment'!B$10:B$172,"MISSING",0)</f>
        <v>E10 Equipment</v>
      </c>
      <c r="D48" s="502" t="str">
        <f>_xlfn.XLOOKUP($F48,'Physical Condition Assessment'!$U$10:$U$172,'Physical Condition Assessment'!C$10:C$172,"MISSING",0)</f>
        <v>E1020 Institutional Equipment</v>
      </c>
      <c r="E48" s="502" t="str">
        <f>_xlfn.XLOOKUP($F48,'Physical Condition Assessment'!$U$10:$U$172,'Physical Condition Assessment'!D$10:D$172,"MISSING",0)</f>
        <v>Restroom Accessories/Stalls</v>
      </c>
      <c r="F48" s="502" t="s">
        <v>337</v>
      </c>
      <c r="G48" s="502" t="str">
        <f>_xlfn.XLOOKUP($F48,'Physical Condition Assessment'!$U$10:$U$172,'Physical Condition Assessment'!V$10:V$172,"MISSING",0)</f>
        <v>Furnishing, Fixtures, Equipment</v>
      </c>
      <c r="H48" s="471">
        <f>_xlfn.XLOOKUP($F48,'Physical Condition Assessment'!$U$10:$U$172,'Physical Condition Assessment'!S$10:S$172,"MISSING",0)</f>
        <v>0</v>
      </c>
      <c r="I48" s="471">
        <f>_xlfn.XLOOKUP($F48,'Physical Condition Assessment'!$U$10:$U$172,'Physical Condition Assessment'!AP$10:AP$172,"MISSING",0)</f>
        <v>0</v>
      </c>
      <c r="J48" s="525" t="e">
        <f t="shared" si="1"/>
        <v>#DIV/0!</v>
      </c>
      <c r="K48" s="471">
        <f ca="1">_xlfn.XLOOKUP($F48,'Physical Condition Assessment'!$U$10:$U$172,'Physical Condition Assessment'!AV$10:AV$172,"MISSING",0)</f>
        <v>0</v>
      </c>
      <c r="L48" s="471">
        <f ca="1">_xlfn.XLOOKUP($F48,'Physical Condition Assessment'!$U$10:$U$172,'Physical Condition Assessment'!AW$10:AW$172,"MISSING",0)</f>
        <v>0</v>
      </c>
      <c r="M48" s="471">
        <f ca="1">_xlfn.XLOOKUP($F48,'Physical Condition Assessment'!$U$10:$U$172,'Physical Condition Assessment'!AX$10:AX$172,"MISSING",0)</f>
        <v>0</v>
      </c>
      <c r="N48" s="471">
        <f ca="1">_xlfn.XLOOKUP($F48,'Physical Condition Assessment'!$U$10:$U$172,'Physical Condition Assessment'!AY$10:AY$172,"MISSING",0)</f>
        <v>0</v>
      </c>
    </row>
    <row r="49" spans="1:14" x14ac:dyDescent="0.2">
      <c r="A49" s="502">
        <f>'Base Information Sheet'!$B$5</f>
        <v>0</v>
      </c>
      <c r="B49" s="502" t="str">
        <f>_xlfn.XLOOKUP($F49,'Physical Condition Assessment'!$U$10:$U$172,'Physical Condition Assessment'!A$10:A$172,"MISSING",0)</f>
        <v>E   EQUIPMENT &amp; FURNISHINGS</v>
      </c>
      <c r="C49" s="502" t="str">
        <f>_xlfn.XLOOKUP($F49,'Physical Condition Assessment'!$U$10:$U$172,'Physical Condition Assessment'!B$10:B$172,"MISSING",0)</f>
        <v>E10 Equipment</v>
      </c>
      <c r="D49" s="502" t="str">
        <f>_xlfn.XLOOKUP($F49,'Physical Condition Assessment'!$U$10:$U$172,'Physical Condition Assessment'!C$10:C$172,"MISSING",0)</f>
        <v>E1020 Institutional Equipment</v>
      </c>
      <c r="E49" s="502" t="str">
        <f>_xlfn.XLOOKUP($F49,'Physical Condition Assessment'!$U$10:$U$172,'Physical Condition Assessment'!D$10:D$172,"MISSING",0)</f>
        <v>Science</v>
      </c>
      <c r="F49" s="502" t="s">
        <v>331</v>
      </c>
      <c r="G49" s="502" t="str">
        <f>_xlfn.XLOOKUP($F49,'Physical Condition Assessment'!$U$10:$U$172,'Physical Condition Assessment'!V$10:V$172,"MISSING",0)</f>
        <v>Furnishing, Fixtures, Equipment</v>
      </c>
      <c r="H49" s="471">
        <f>_xlfn.XLOOKUP($F49,'Physical Condition Assessment'!$U$10:$U$172,'Physical Condition Assessment'!S$10:S$172,"MISSING",0)</f>
        <v>0</v>
      </c>
      <c r="I49" s="471">
        <f>_xlfn.XLOOKUP($F49,'Physical Condition Assessment'!$U$10:$U$172,'Physical Condition Assessment'!AP$10:AP$172,"MISSING",0)</f>
        <v>0</v>
      </c>
      <c r="J49" s="525" t="e">
        <f t="shared" si="1"/>
        <v>#DIV/0!</v>
      </c>
      <c r="K49" s="471">
        <f ca="1">_xlfn.XLOOKUP($F49,'Physical Condition Assessment'!$U$10:$U$172,'Physical Condition Assessment'!AV$10:AV$172,"MISSING",0)</f>
        <v>0</v>
      </c>
      <c r="L49" s="471">
        <f ca="1">_xlfn.XLOOKUP($F49,'Physical Condition Assessment'!$U$10:$U$172,'Physical Condition Assessment'!AW$10:AW$172,"MISSING",0)</f>
        <v>0</v>
      </c>
      <c r="M49" s="471">
        <f ca="1">_xlfn.XLOOKUP($F49,'Physical Condition Assessment'!$U$10:$U$172,'Physical Condition Assessment'!AX$10:AX$172,"MISSING",0)</f>
        <v>0</v>
      </c>
      <c r="N49" s="471">
        <f ca="1">_xlfn.XLOOKUP($F49,'Physical Condition Assessment'!$U$10:$U$172,'Physical Condition Assessment'!AY$10:AY$172,"MISSING",0)</f>
        <v>0</v>
      </c>
    </row>
    <row r="50" spans="1:14" x14ac:dyDescent="0.2">
      <c r="A50" s="502">
        <f>'Base Information Sheet'!$B$5</f>
        <v>0</v>
      </c>
      <c r="B50" s="502" t="str">
        <f>_xlfn.XLOOKUP($F50,'Physical Condition Assessment'!$U$10:$U$172,'Physical Condition Assessment'!A$10:A$172,"MISSING",0)</f>
        <v>E   EQUIPMENT &amp; FURNISHINGS</v>
      </c>
      <c r="C50" s="502" t="str">
        <f>_xlfn.XLOOKUP($F50,'Physical Condition Assessment'!$U$10:$U$172,'Physical Condition Assessment'!B$10:B$172,"MISSING",0)</f>
        <v>E10 Equipment</v>
      </c>
      <c r="D50" s="502" t="str">
        <f>_xlfn.XLOOKUP($F50,'Physical Condition Assessment'!$U$10:$U$172,'Physical Condition Assessment'!C$10:C$172,"MISSING",0)</f>
        <v>E1020 Institutional Equipment</v>
      </c>
      <c r="E50" s="502" t="str">
        <f>_xlfn.XLOOKUP($F50,'Physical Condition Assessment'!$U$10:$U$172,'Physical Condition Assessment'!D$10:D$172,"MISSING",0)</f>
        <v>Stage Performance</v>
      </c>
      <c r="F50" s="502" t="s">
        <v>335</v>
      </c>
      <c r="G50" s="502" t="str">
        <f>_xlfn.XLOOKUP($F50,'Physical Condition Assessment'!$U$10:$U$172,'Physical Condition Assessment'!V$10:V$172,"MISSING",0)</f>
        <v>Furnishing, Fixtures, Equipment</v>
      </c>
      <c r="H50" s="471">
        <f>_xlfn.XLOOKUP($F50,'Physical Condition Assessment'!$U$10:$U$172,'Physical Condition Assessment'!S$10:S$172,"MISSING",0)</f>
        <v>0</v>
      </c>
      <c r="I50" s="471">
        <f>_xlfn.XLOOKUP($F50,'Physical Condition Assessment'!$U$10:$U$172,'Physical Condition Assessment'!AP$10:AP$172,"MISSING",0)</f>
        <v>0</v>
      </c>
      <c r="J50" s="525" t="e">
        <f t="shared" si="1"/>
        <v>#DIV/0!</v>
      </c>
      <c r="K50" s="471">
        <f ca="1">_xlfn.XLOOKUP($F50,'Physical Condition Assessment'!$U$10:$U$172,'Physical Condition Assessment'!AV$10:AV$172,"MISSING",0)</f>
        <v>0</v>
      </c>
      <c r="L50" s="471">
        <f ca="1">_xlfn.XLOOKUP($F50,'Physical Condition Assessment'!$U$10:$U$172,'Physical Condition Assessment'!AW$10:AW$172,"MISSING",0)</f>
        <v>0</v>
      </c>
      <c r="M50" s="471">
        <f ca="1">_xlfn.XLOOKUP($F50,'Physical Condition Assessment'!$U$10:$U$172,'Physical Condition Assessment'!AX$10:AX$172,"MISSING",0)</f>
        <v>0</v>
      </c>
      <c r="N50" s="471">
        <f ca="1">_xlfn.XLOOKUP($F50,'Physical Condition Assessment'!$U$10:$U$172,'Physical Condition Assessment'!AY$10:AY$172,"MISSING",0)</f>
        <v>0</v>
      </c>
    </row>
    <row r="51" spans="1:14" x14ac:dyDescent="0.2">
      <c r="A51" s="502">
        <f>'Base Information Sheet'!$B$5</f>
        <v>0</v>
      </c>
      <c r="B51" s="502" t="str">
        <f>_xlfn.XLOOKUP($F51,'Physical Condition Assessment'!$U$10:$U$172,'Physical Condition Assessment'!A$10:A$172,"MISSING",0)</f>
        <v>E   EQUIPMENT &amp; FURNISHINGS</v>
      </c>
      <c r="C51" s="502" t="str">
        <f>_xlfn.XLOOKUP($F51,'Physical Condition Assessment'!$U$10:$U$172,'Physical Condition Assessment'!B$10:B$172,"MISSING",0)</f>
        <v>E20 Furnishings</v>
      </c>
      <c r="D51" s="502" t="str">
        <f>_xlfn.XLOOKUP($F51,'Physical Condition Assessment'!$U$10:$U$172,'Physical Condition Assessment'!C$10:C$172,"MISSING",0)</f>
        <v>E2010 Fixed Furnishings</v>
      </c>
      <c r="E51" s="502">
        <f>_xlfn.XLOOKUP($F51,'Physical Condition Assessment'!$U$10:$U$172,'Physical Condition Assessment'!D$10:D$172,"MISSING",0)</f>
        <v>0</v>
      </c>
      <c r="F51" s="502" t="s">
        <v>342</v>
      </c>
      <c r="G51" s="502" t="str">
        <f>_xlfn.XLOOKUP($F51,'Physical Condition Assessment'!$U$10:$U$172,'Physical Condition Assessment'!V$10:V$172,"MISSING",0)</f>
        <v>Furnishing, Fixtures, Equipment</v>
      </c>
      <c r="H51" s="471">
        <f>_xlfn.XLOOKUP($F51,'Physical Condition Assessment'!$U$10:$U$172,'Physical Condition Assessment'!S$10:S$172,"MISSING",0)</f>
        <v>0</v>
      </c>
      <c r="I51" s="471">
        <f>_xlfn.XLOOKUP($F51,'Physical Condition Assessment'!$U$10:$U$172,'Physical Condition Assessment'!AP$10:AP$172,"MISSING",0)</f>
        <v>0</v>
      </c>
      <c r="J51" s="525" t="e">
        <f t="shared" si="1"/>
        <v>#DIV/0!</v>
      </c>
      <c r="K51" s="471">
        <f ca="1">_xlfn.XLOOKUP($F51,'Physical Condition Assessment'!$U$10:$U$172,'Physical Condition Assessment'!AV$10:AV$172,"MISSING",0)</f>
        <v>0</v>
      </c>
      <c r="L51" s="471">
        <f ca="1">_xlfn.XLOOKUP($F51,'Physical Condition Assessment'!$U$10:$U$172,'Physical Condition Assessment'!AW$10:AW$172,"MISSING",0)</f>
        <v>0</v>
      </c>
      <c r="M51" s="471">
        <f ca="1">_xlfn.XLOOKUP($F51,'Physical Condition Assessment'!$U$10:$U$172,'Physical Condition Assessment'!AX$10:AX$172,"MISSING",0)</f>
        <v>0</v>
      </c>
      <c r="N51" s="471">
        <f ca="1">_xlfn.XLOOKUP($F51,'Physical Condition Assessment'!$U$10:$U$172,'Physical Condition Assessment'!AY$10:AY$172,"MISSING",0)</f>
        <v>0</v>
      </c>
    </row>
    <row r="52" spans="1:14" x14ac:dyDescent="0.2">
      <c r="A52" s="502">
        <f>'Base Information Sheet'!$B$5</f>
        <v>0</v>
      </c>
      <c r="B52" s="502" t="str">
        <f>_xlfn.XLOOKUP($F52,'Physical Condition Assessment'!$U$10:$U$172,'Physical Condition Assessment'!A$10:A$172,"MISSING",0)</f>
        <v>E   EQUIPMENT &amp; FURNISHINGS</v>
      </c>
      <c r="C52" s="502" t="str">
        <f>_xlfn.XLOOKUP($F52,'Physical Condition Assessment'!$U$10:$U$172,'Physical Condition Assessment'!B$10:B$172,"MISSING",0)</f>
        <v>E20 Furnishings</v>
      </c>
      <c r="D52" s="502" t="str">
        <f>_xlfn.XLOOKUP($F52,'Physical Condition Assessment'!$U$10:$U$172,'Physical Condition Assessment'!C$10:C$172,"MISSING",0)</f>
        <v>E2020 Movable Furnishings</v>
      </c>
      <c r="E52" s="502">
        <f>_xlfn.XLOOKUP($F52,'Physical Condition Assessment'!$U$10:$U$172,'Physical Condition Assessment'!D$10:D$172,"MISSING",0)</f>
        <v>0</v>
      </c>
      <c r="F52" s="502" t="s">
        <v>344</v>
      </c>
      <c r="G52" s="502" t="str">
        <f>_xlfn.XLOOKUP($F52,'Physical Condition Assessment'!$U$10:$U$172,'Physical Condition Assessment'!V$10:V$172,"MISSING",0)</f>
        <v>Furnishing, Fixtures, Equipment</v>
      </c>
      <c r="H52" s="471">
        <f>_xlfn.XLOOKUP($F52,'Physical Condition Assessment'!$U$10:$U$172,'Physical Condition Assessment'!S$10:S$172,"MISSING",0)</f>
        <v>0</v>
      </c>
      <c r="I52" s="471">
        <f>_xlfn.XLOOKUP($F52,'Physical Condition Assessment'!$U$10:$U$172,'Physical Condition Assessment'!AP$10:AP$172,"MISSING",0)</f>
        <v>0</v>
      </c>
      <c r="J52" s="525" t="e">
        <f t="shared" si="1"/>
        <v>#DIV/0!</v>
      </c>
      <c r="K52" s="471">
        <f ca="1">_xlfn.XLOOKUP($F52,'Physical Condition Assessment'!$U$10:$U$172,'Physical Condition Assessment'!AV$10:AV$172,"MISSING",0)</f>
        <v>0</v>
      </c>
      <c r="L52" s="471">
        <f ca="1">_xlfn.XLOOKUP($F52,'Physical Condition Assessment'!$U$10:$U$172,'Physical Condition Assessment'!AW$10:AW$172,"MISSING",0)</f>
        <v>0</v>
      </c>
      <c r="M52" s="471">
        <f ca="1">_xlfn.XLOOKUP($F52,'Physical Condition Assessment'!$U$10:$U$172,'Physical Condition Assessment'!AX$10:AX$172,"MISSING",0)</f>
        <v>0</v>
      </c>
      <c r="N52" s="471">
        <f ca="1">_xlfn.XLOOKUP($F52,'Physical Condition Assessment'!$U$10:$U$172,'Physical Condition Assessment'!AY$10:AY$172,"MISSING",0)</f>
        <v>0</v>
      </c>
    </row>
    <row r="53" spans="1:14" x14ac:dyDescent="0.2">
      <c r="A53" s="502">
        <f>'Base Information Sheet'!$B$5</f>
        <v>0</v>
      </c>
      <c r="B53" s="502" t="str">
        <f>_xlfn.XLOOKUP($F53,'Physical Condition Assessment'!$U$10:$U$172,'Physical Condition Assessment'!A$10:A$172,"MISSING",0)</f>
        <v>D    SERVICES</v>
      </c>
      <c r="C53" s="502" t="str">
        <f>_xlfn.XLOOKUP($F53,'Physical Condition Assessment'!$U$10:$U$172,'Physical Condition Assessment'!B$10:B$172,"MISSING",0)</f>
        <v>D30 HVAC</v>
      </c>
      <c r="D53" s="502" t="str">
        <f>_xlfn.XLOOKUP($F53,'Physical Condition Assessment'!$U$10:$U$172,'Physical Condition Assessment'!C$10:C$172,"MISSING",0)</f>
        <v>D3010 Energy Supply</v>
      </c>
      <c r="E53" s="502">
        <f>_xlfn.XLOOKUP($F53,'Physical Condition Assessment'!$U$10:$U$172,'Physical Condition Assessment'!D$10:D$172,"MISSING",0)</f>
        <v>0</v>
      </c>
      <c r="F53" s="502" t="s">
        <v>250</v>
      </c>
      <c r="G53" s="502" t="str">
        <f>_xlfn.XLOOKUP($F53,'Physical Condition Assessment'!$U$10:$U$172,'Physical Condition Assessment'!V$10:V$172,"MISSING",0)</f>
        <v>HVAC</v>
      </c>
      <c r="H53" s="471">
        <f>_xlfn.XLOOKUP($F53,'Physical Condition Assessment'!$U$10:$U$172,'Physical Condition Assessment'!S$10:S$172,"MISSING",0)</f>
        <v>0</v>
      </c>
      <c r="I53" s="471">
        <f>_xlfn.XLOOKUP($F53,'Physical Condition Assessment'!$U$10:$U$172,'Physical Condition Assessment'!AP$10:AP$172,"MISSING",0)</f>
        <v>0</v>
      </c>
      <c r="J53" s="525" t="e">
        <f t="shared" si="1"/>
        <v>#DIV/0!</v>
      </c>
      <c r="K53" s="471">
        <f ca="1">_xlfn.XLOOKUP($F53,'Physical Condition Assessment'!$U$10:$U$172,'Physical Condition Assessment'!AV$10:AV$172,"MISSING",0)</f>
        <v>0</v>
      </c>
      <c r="L53" s="471">
        <f ca="1">_xlfn.XLOOKUP($F53,'Physical Condition Assessment'!$U$10:$U$172,'Physical Condition Assessment'!AW$10:AW$172,"MISSING",0)</f>
        <v>0</v>
      </c>
      <c r="M53" s="471">
        <f ca="1">_xlfn.XLOOKUP($F53,'Physical Condition Assessment'!$U$10:$U$172,'Physical Condition Assessment'!AX$10:AX$172,"MISSING",0)</f>
        <v>0</v>
      </c>
      <c r="N53" s="471">
        <f ca="1">_xlfn.XLOOKUP($F53,'Physical Condition Assessment'!$U$10:$U$172,'Physical Condition Assessment'!AY$10:AY$172,"MISSING",0)</f>
        <v>0</v>
      </c>
    </row>
    <row r="54" spans="1:14" x14ac:dyDescent="0.2">
      <c r="A54" s="502">
        <f>'Base Information Sheet'!$B$5</f>
        <v>0</v>
      </c>
      <c r="B54" s="502" t="str">
        <f>_xlfn.XLOOKUP($F54,'Physical Condition Assessment'!$U$10:$U$172,'Physical Condition Assessment'!A$10:A$172,"MISSING",0)</f>
        <v>D    SERVICES</v>
      </c>
      <c r="C54" s="502" t="str">
        <f>_xlfn.XLOOKUP($F54,'Physical Condition Assessment'!$U$10:$U$172,'Physical Condition Assessment'!B$10:B$172,"MISSING",0)</f>
        <v>D30 HVAC</v>
      </c>
      <c r="D54" s="502" t="str">
        <f>_xlfn.XLOOKUP($F54,'Physical Condition Assessment'!$U$10:$U$172,'Physical Condition Assessment'!C$10:C$172,"MISSING",0)</f>
        <v>D3020 Heat Generating Systems</v>
      </c>
      <c r="E54" s="502" t="str">
        <f>_xlfn.XLOOKUP($F54,'Physical Condition Assessment'!$U$10:$U$172,'Physical Condition Assessment'!D$10:D$172,"MISSING",0)</f>
        <v>Air Handler</v>
      </c>
      <c r="F54" s="502" t="s">
        <v>261</v>
      </c>
      <c r="G54" s="502" t="str">
        <f>_xlfn.XLOOKUP($F54,'Physical Condition Assessment'!$U$10:$U$172,'Physical Condition Assessment'!V$10:V$172,"MISSING",0)</f>
        <v>HVAC</v>
      </c>
      <c r="H54" s="471">
        <f>_xlfn.XLOOKUP($F54,'Physical Condition Assessment'!$U$10:$U$172,'Physical Condition Assessment'!S$10:S$172,"MISSING",0)</f>
        <v>0</v>
      </c>
      <c r="I54" s="471">
        <f>_xlfn.XLOOKUP($F54,'Physical Condition Assessment'!$U$10:$U$172,'Physical Condition Assessment'!AP$10:AP$172,"MISSING",0)</f>
        <v>0</v>
      </c>
      <c r="J54" s="525" t="e">
        <f t="shared" si="1"/>
        <v>#DIV/0!</v>
      </c>
      <c r="K54" s="471">
        <f ca="1">_xlfn.XLOOKUP($F54,'Physical Condition Assessment'!$U$10:$U$172,'Physical Condition Assessment'!AV$10:AV$172,"MISSING",0)</f>
        <v>0</v>
      </c>
      <c r="L54" s="471">
        <f ca="1">_xlfn.XLOOKUP($F54,'Physical Condition Assessment'!$U$10:$U$172,'Physical Condition Assessment'!AW$10:AW$172,"MISSING",0)</f>
        <v>0</v>
      </c>
      <c r="M54" s="471">
        <f ca="1">_xlfn.XLOOKUP($F54,'Physical Condition Assessment'!$U$10:$U$172,'Physical Condition Assessment'!AX$10:AX$172,"MISSING",0)</f>
        <v>0</v>
      </c>
      <c r="N54" s="471">
        <f ca="1">_xlfn.XLOOKUP($F54,'Physical Condition Assessment'!$U$10:$U$172,'Physical Condition Assessment'!AY$10:AY$172,"MISSING",0)</f>
        <v>0</v>
      </c>
    </row>
    <row r="55" spans="1:14" x14ac:dyDescent="0.2">
      <c r="A55" s="502">
        <f>'Base Information Sheet'!$B$5</f>
        <v>0</v>
      </c>
      <c r="B55" s="502" t="str">
        <f>_xlfn.XLOOKUP($F55,'Physical Condition Assessment'!$U$10:$U$172,'Physical Condition Assessment'!A$10:A$172,"MISSING",0)</f>
        <v>D    SERVICES</v>
      </c>
      <c r="C55" s="502" t="str">
        <f>_xlfn.XLOOKUP($F55,'Physical Condition Assessment'!$U$10:$U$172,'Physical Condition Assessment'!B$10:B$172,"MISSING",0)</f>
        <v>D30 HVAC</v>
      </c>
      <c r="D55" s="502" t="str">
        <f>_xlfn.XLOOKUP($F55,'Physical Condition Assessment'!$U$10:$U$172,'Physical Condition Assessment'!C$10:C$172,"MISSING",0)</f>
        <v>D3020 Heat Generating Systems</v>
      </c>
      <c r="E55" s="502" t="str">
        <f>_xlfn.XLOOKUP($F55,'Physical Condition Assessment'!$U$10:$U$172,'Physical Condition Assessment'!D$10:D$172,"MISSING",0)</f>
        <v>Boiler</v>
      </c>
      <c r="F55" s="502" t="s">
        <v>258</v>
      </c>
      <c r="G55" s="502" t="str">
        <f>_xlfn.XLOOKUP($F55,'Physical Condition Assessment'!$U$10:$U$172,'Physical Condition Assessment'!V$10:V$172,"MISSING",0)</f>
        <v>HVAC</v>
      </c>
      <c r="H55" s="471">
        <f>_xlfn.XLOOKUP($F55,'Physical Condition Assessment'!$U$10:$U$172,'Physical Condition Assessment'!S$10:S$172,"MISSING",0)</f>
        <v>0</v>
      </c>
      <c r="I55" s="471">
        <f>_xlfn.XLOOKUP($F55,'Physical Condition Assessment'!$U$10:$U$172,'Physical Condition Assessment'!AP$10:AP$172,"MISSING",0)</f>
        <v>0</v>
      </c>
      <c r="J55" s="525" t="e">
        <f t="shared" si="1"/>
        <v>#DIV/0!</v>
      </c>
      <c r="K55" s="471">
        <f ca="1">_xlfn.XLOOKUP($F55,'Physical Condition Assessment'!$U$10:$U$172,'Physical Condition Assessment'!AV$10:AV$172,"MISSING",0)</f>
        <v>0</v>
      </c>
      <c r="L55" s="471">
        <f ca="1">_xlfn.XLOOKUP($F55,'Physical Condition Assessment'!$U$10:$U$172,'Physical Condition Assessment'!AW$10:AW$172,"MISSING",0)</f>
        <v>0</v>
      </c>
      <c r="M55" s="471">
        <f ca="1">_xlfn.XLOOKUP($F55,'Physical Condition Assessment'!$U$10:$U$172,'Physical Condition Assessment'!AX$10:AX$172,"MISSING",0)</f>
        <v>0</v>
      </c>
      <c r="N55" s="471">
        <f ca="1">_xlfn.XLOOKUP($F55,'Physical Condition Assessment'!$U$10:$U$172,'Physical Condition Assessment'!AY$10:AY$172,"MISSING",0)</f>
        <v>0</v>
      </c>
    </row>
    <row r="56" spans="1:14" x14ac:dyDescent="0.2">
      <c r="A56" s="502">
        <f>'Base Information Sheet'!$B$5</f>
        <v>0</v>
      </c>
      <c r="B56" s="502" t="str">
        <f>_xlfn.XLOOKUP($F56,'Physical Condition Assessment'!$U$10:$U$172,'Physical Condition Assessment'!A$10:A$172,"MISSING",0)</f>
        <v>D    SERVICES</v>
      </c>
      <c r="C56" s="502" t="str">
        <f>_xlfn.XLOOKUP($F56,'Physical Condition Assessment'!$U$10:$U$172,'Physical Condition Assessment'!B$10:B$172,"MISSING",0)</f>
        <v>D30 HVAC</v>
      </c>
      <c r="D56" s="502" t="str">
        <f>_xlfn.XLOOKUP($F56,'Physical Condition Assessment'!$U$10:$U$172,'Physical Condition Assessment'!C$10:C$172,"MISSING",0)</f>
        <v>D3020 Heat Generating Systems</v>
      </c>
      <c r="E56" s="502" t="str">
        <f>_xlfn.XLOOKUP($F56,'Physical Condition Assessment'!$U$10:$U$172,'Physical Condition Assessment'!D$10:D$172,"MISSING",0)</f>
        <v>Furnace</v>
      </c>
      <c r="F56" s="502" t="s">
        <v>264</v>
      </c>
      <c r="G56" s="502" t="str">
        <f>_xlfn.XLOOKUP($F56,'Physical Condition Assessment'!$U$10:$U$172,'Physical Condition Assessment'!V$10:V$172,"MISSING",0)</f>
        <v>HVAC</v>
      </c>
      <c r="H56" s="471">
        <f>_xlfn.XLOOKUP($F56,'Physical Condition Assessment'!$U$10:$U$172,'Physical Condition Assessment'!S$10:S$172,"MISSING",0)</f>
        <v>0</v>
      </c>
      <c r="I56" s="471">
        <f>_xlfn.XLOOKUP($F56,'Physical Condition Assessment'!$U$10:$U$172,'Physical Condition Assessment'!AP$10:AP$172,"MISSING",0)</f>
        <v>0</v>
      </c>
      <c r="J56" s="525" t="e">
        <f t="shared" si="1"/>
        <v>#DIV/0!</v>
      </c>
      <c r="K56" s="471">
        <f ca="1">_xlfn.XLOOKUP($F56,'Physical Condition Assessment'!$U$10:$U$172,'Physical Condition Assessment'!AV$10:AV$172,"MISSING",0)</f>
        <v>0</v>
      </c>
      <c r="L56" s="471">
        <f ca="1">_xlfn.XLOOKUP($F56,'Physical Condition Assessment'!$U$10:$U$172,'Physical Condition Assessment'!AW$10:AW$172,"MISSING",0)</f>
        <v>0</v>
      </c>
      <c r="M56" s="471">
        <f ca="1">_xlfn.XLOOKUP($F56,'Physical Condition Assessment'!$U$10:$U$172,'Physical Condition Assessment'!AX$10:AX$172,"MISSING",0)</f>
        <v>0</v>
      </c>
      <c r="N56" s="471">
        <f ca="1">_xlfn.XLOOKUP($F56,'Physical Condition Assessment'!$U$10:$U$172,'Physical Condition Assessment'!AY$10:AY$172,"MISSING",0)</f>
        <v>0</v>
      </c>
    </row>
    <row r="57" spans="1:14" x14ac:dyDescent="0.2">
      <c r="A57" s="502">
        <f>'Base Information Sheet'!$B$5</f>
        <v>0</v>
      </c>
      <c r="B57" s="502" t="str">
        <f>_xlfn.XLOOKUP($F57,'Physical Condition Assessment'!$U$10:$U$172,'Physical Condition Assessment'!A$10:A$172,"MISSING",0)</f>
        <v>D    SERVICES</v>
      </c>
      <c r="C57" s="502" t="str">
        <f>_xlfn.XLOOKUP($F57,'Physical Condition Assessment'!$U$10:$U$172,'Physical Condition Assessment'!B$10:B$172,"MISSING",0)</f>
        <v>D30 HVAC</v>
      </c>
      <c r="D57" s="502" t="str">
        <f>_xlfn.XLOOKUP($F57,'Physical Condition Assessment'!$U$10:$U$172,'Physical Condition Assessment'!C$10:C$172,"MISSING",0)</f>
        <v>D3020 Heat Generating Systems</v>
      </c>
      <c r="E57" s="502" t="str">
        <f>_xlfn.XLOOKUP($F57,'Physical Condition Assessment'!$U$10:$U$172,'Physical Condition Assessment'!D$10:D$172,"MISSING",0)</f>
        <v>Heat Exchanger</v>
      </c>
      <c r="F57" s="502" t="s">
        <v>267</v>
      </c>
      <c r="G57" s="502" t="str">
        <f>_xlfn.XLOOKUP($F57,'Physical Condition Assessment'!$U$10:$U$172,'Physical Condition Assessment'!V$10:V$172,"MISSING",0)</f>
        <v>HVAC</v>
      </c>
      <c r="H57" s="471">
        <f>_xlfn.XLOOKUP($F57,'Physical Condition Assessment'!$U$10:$U$172,'Physical Condition Assessment'!S$10:S$172,"MISSING",0)</f>
        <v>0</v>
      </c>
      <c r="I57" s="471">
        <f>_xlfn.XLOOKUP($F57,'Physical Condition Assessment'!$U$10:$U$172,'Physical Condition Assessment'!AP$10:AP$172,"MISSING",0)</f>
        <v>0</v>
      </c>
      <c r="J57" s="525" t="e">
        <f t="shared" si="1"/>
        <v>#DIV/0!</v>
      </c>
      <c r="K57" s="471">
        <f ca="1">_xlfn.XLOOKUP($F57,'Physical Condition Assessment'!$U$10:$U$172,'Physical Condition Assessment'!AV$10:AV$172,"MISSING",0)</f>
        <v>0</v>
      </c>
      <c r="L57" s="471">
        <f ca="1">_xlfn.XLOOKUP($F57,'Physical Condition Assessment'!$U$10:$U$172,'Physical Condition Assessment'!AW$10:AW$172,"MISSING",0)</f>
        <v>0</v>
      </c>
      <c r="M57" s="471">
        <f ca="1">_xlfn.XLOOKUP($F57,'Physical Condition Assessment'!$U$10:$U$172,'Physical Condition Assessment'!AX$10:AX$172,"MISSING",0)</f>
        <v>0</v>
      </c>
      <c r="N57" s="471">
        <f ca="1">_xlfn.XLOOKUP($F57,'Physical Condition Assessment'!$U$10:$U$172,'Physical Condition Assessment'!AY$10:AY$172,"MISSING",0)</f>
        <v>0</v>
      </c>
    </row>
    <row r="58" spans="1:14" x14ac:dyDescent="0.2">
      <c r="A58" s="502">
        <f>'Base Information Sheet'!$B$5</f>
        <v>0</v>
      </c>
      <c r="B58" s="502" t="str">
        <f>_xlfn.XLOOKUP($F58,'Physical Condition Assessment'!$U$10:$U$172,'Physical Condition Assessment'!A$10:A$172,"MISSING",0)</f>
        <v>D    SERVICES</v>
      </c>
      <c r="C58" s="502" t="str">
        <f>_xlfn.XLOOKUP($F58,'Physical Condition Assessment'!$U$10:$U$172,'Physical Condition Assessment'!B$10:B$172,"MISSING",0)</f>
        <v>D30 HVAC</v>
      </c>
      <c r="D58" s="502" t="str">
        <f>_xlfn.XLOOKUP($F58,'Physical Condition Assessment'!$U$10:$U$172,'Physical Condition Assessment'!C$10:C$172,"MISSING",0)</f>
        <v>D3030 Cooling Generating Systems</v>
      </c>
      <c r="E58" s="502" t="str">
        <f>_xlfn.XLOOKUP($F58,'Physical Condition Assessment'!$U$10:$U$172,'Physical Condition Assessment'!D$10:D$172,"MISSING",0)</f>
        <v>Component of air handler</v>
      </c>
      <c r="F58" s="502" t="s">
        <v>270</v>
      </c>
      <c r="G58" s="502" t="str">
        <f>_xlfn.XLOOKUP($F58,'Physical Condition Assessment'!$U$10:$U$172,'Physical Condition Assessment'!V$10:V$172,"MISSING",0)</f>
        <v>HVAC</v>
      </c>
      <c r="H58" s="471">
        <f>_xlfn.XLOOKUP($F58,'Physical Condition Assessment'!$U$10:$U$172,'Physical Condition Assessment'!S$10:S$172,"MISSING",0)</f>
        <v>0</v>
      </c>
      <c r="I58" s="471">
        <f>_xlfn.XLOOKUP($F58,'Physical Condition Assessment'!$U$10:$U$172,'Physical Condition Assessment'!AP$10:AP$172,"MISSING",0)</f>
        <v>0</v>
      </c>
      <c r="J58" s="525" t="e">
        <f t="shared" si="1"/>
        <v>#DIV/0!</v>
      </c>
      <c r="K58" s="471">
        <f ca="1">_xlfn.XLOOKUP($F58,'Physical Condition Assessment'!$U$10:$U$172,'Physical Condition Assessment'!AV$10:AV$172,"MISSING",0)</f>
        <v>0</v>
      </c>
      <c r="L58" s="471">
        <f ca="1">_xlfn.XLOOKUP($F58,'Physical Condition Assessment'!$U$10:$U$172,'Physical Condition Assessment'!AW$10:AW$172,"MISSING",0)</f>
        <v>0</v>
      </c>
      <c r="M58" s="471">
        <f ca="1">_xlfn.XLOOKUP($F58,'Physical Condition Assessment'!$U$10:$U$172,'Physical Condition Assessment'!AX$10:AX$172,"MISSING",0)</f>
        <v>0</v>
      </c>
      <c r="N58" s="471">
        <f ca="1">_xlfn.XLOOKUP($F58,'Physical Condition Assessment'!$U$10:$U$172,'Physical Condition Assessment'!AY$10:AY$172,"MISSING",0)</f>
        <v>0</v>
      </c>
    </row>
    <row r="59" spans="1:14" x14ac:dyDescent="0.2">
      <c r="A59" s="502">
        <f>'Base Information Sheet'!$B$5</f>
        <v>0</v>
      </c>
      <c r="B59" s="502" t="str">
        <f>_xlfn.XLOOKUP($F59,'Physical Condition Assessment'!$U$10:$U$172,'Physical Condition Assessment'!A$10:A$172,"MISSING",0)</f>
        <v>D    SERVICES</v>
      </c>
      <c r="C59" s="502" t="str">
        <f>_xlfn.XLOOKUP($F59,'Physical Condition Assessment'!$U$10:$U$172,'Physical Condition Assessment'!B$10:B$172,"MISSING",0)</f>
        <v>D30 HVAC</v>
      </c>
      <c r="D59" s="502" t="str">
        <f>_xlfn.XLOOKUP($F59,'Physical Condition Assessment'!$U$10:$U$172,'Physical Condition Assessment'!C$10:C$172,"MISSING",0)</f>
        <v>D3030 Cooling Generating Systems</v>
      </c>
      <c r="E59" s="502" t="str">
        <f>_xlfn.XLOOKUP($F59,'Physical Condition Assessment'!$U$10:$U$172,'Physical Condition Assessment'!D$10:D$172,"MISSING",0)</f>
        <v>Stand alone chiller</v>
      </c>
      <c r="F59" s="502" t="s">
        <v>272</v>
      </c>
      <c r="G59" s="502" t="str">
        <f>_xlfn.XLOOKUP($F59,'Physical Condition Assessment'!$U$10:$U$172,'Physical Condition Assessment'!V$10:V$172,"MISSING",0)</f>
        <v>HVAC</v>
      </c>
      <c r="H59" s="471">
        <f>_xlfn.XLOOKUP($F59,'Physical Condition Assessment'!$U$10:$U$172,'Physical Condition Assessment'!S$10:S$172,"MISSING",0)</f>
        <v>0</v>
      </c>
      <c r="I59" s="471">
        <f>_xlfn.XLOOKUP($F59,'Physical Condition Assessment'!$U$10:$U$172,'Physical Condition Assessment'!AP$10:AP$172,"MISSING",0)</f>
        <v>0</v>
      </c>
      <c r="J59" s="525" t="e">
        <f t="shared" si="1"/>
        <v>#DIV/0!</v>
      </c>
      <c r="K59" s="471">
        <f ca="1">_xlfn.XLOOKUP($F59,'Physical Condition Assessment'!$U$10:$U$172,'Physical Condition Assessment'!AV$10:AV$172,"MISSING",0)</f>
        <v>0</v>
      </c>
      <c r="L59" s="471">
        <f ca="1">_xlfn.XLOOKUP($F59,'Physical Condition Assessment'!$U$10:$U$172,'Physical Condition Assessment'!AW$10:AW$172,"MISSING",0)</f>
        <v>0</v>
      </c>
      <c r="M59" s="471">
        <f ca="1">_xlfn.XLOOKUP($F59,'Physical Condition Assessment'!$U$10:$U$172,'Physical Condition Assessment'!AX$10:AX$172,"MISSING",0)</f>
        <v>0</v>
      </c>
      <c r="N59" s="471">
        <f ca="1">_xlfn.XLOOKUP($F59,'Physical Condition Assessment'!$U$10:$U$172,'Physical Condition Assessment'!AY$10:AY$172,"MISSING",0)</f>
        <v>0</v>
      </c>
    </row>
    <row r="60" spans="1:14" x14ac:dyDescent="0.2">
      <c r="A60" s="502">
        <f>'Base Information Sheet'!$B$5</f>
        <v>0</v>
      </c>
      <c r="B60" s="502" t="str">
        <f>_xlfn.XLOOKUP($F60,'Physical Condition Assessment'!$U$10:$U$172,'Physical Condition Assessment'!A$10:A$172,"MISSING",0)</f>
        <v>D    SERVICES</v>
      </c>
      <c r="C60" s="502" t="str">
        <f>_xlfn.XLOOKUP($F60,'Physical Condition Assessment'!$U$10:$U$172,'Physical Condition Assessment'!B$10:B$172,"MISSING",0)</f>
        <v>D30 HVAC</v>
      </c>
      <c r="D60" s="502" t="str">
        <f>_xlfn.XLOOKUP($F60,'Physical Condition Assessment'!$U$10:$U$172,'Physical Condition Assessment'!C$10:C$172,"MISSING",0)</f>
        <v>D3040 Distribution Systems</v>
      </c>
      <c r="E60" s="502" t="str">
        <f>_xlfn.XLOOKUP($F60,'Physical Condition Assessment'!$U$10:$U$172,'Physical Condition Assessment'!D$10:D$172,"MISSING",0)</f>
        <v>Ductwork</v>
      </c>
      <c r="F60" s="502" t="s">
        <v>275</v>
      </c>
      <c r="G60" s="502" t="str">
        <f>_xlfn.XLOOKUP($F60,'Physical Condition Assessment'!$U$10:$U$172,'Physical Condition Assessment'!V$10:V$172,"MISSING",0)</f>
        <v>HVAC</v>
      </c>
      <c r="H60" s="471">
        <f>_xlfn.XLOOKUP($F60,'Physical Condition Assessment'!$U$10:$U$172,'Physical Condition Assessment'!S$10:S$172,"MISSING",0)</f>
        <v>0</v>
      </c>
      <c r="I60" s="471">
        <f>_xlfn.XLOOKUP($F60,'Physical Condition Assessment'!$U$10:$U$172,'Physical Condition Assessment'!AP$10:AP$172,"MISSING",0)</f>
        <v>0</v>
      </c>
      <c r="J60" s="525" t="e">
        <f t="shared" si="1"/>
        <v>#DIV/0!</v>
      </c>
      <c r="K60" s="471">
        <f ca="1">_xlfn.XLOOKUP($F60,'Physical Condition Assessment'!$U$10:$U$172,'Physical Condition Assessment'!AV$10:AV$172,"MISSING",0)</f>
        <v>0</v>
      </c>
      <c r="L60" s="471">
        <f ca="1">_xlfn.XLOOKUP($F60,'Physical Condition Assessment'!$U$10:$U$172,'Physical Condition Assessment'!AW$10:AW$172,"MISSING",0)</f>
        <v>0</v>
      </c>
      <c r="M60" s="471">
        <f ca="1">_xlfn.XLOOKUP($F60,'Physical Condition Assessment'!$U$10:$U$172,'Physical Condition Assessment'!AX$10:AX$172,"MISSING",0)</f>
        <v>0</v>
      </c>
      <c r="N60" s="471">
        <f ca="1">_xlfn.XLOOKUP($F60,'Physical Condition Assessment'!$U$10:$U$172,'Physical Condition Assessment'!AY$10:AY$172,"MISSING",0)</f>
        <v>0</v>
      </c>
    </row>
    <row r="61" spans="1:14" x14ac:dyDescent="0.2">
      <c r="A61" s="502">
        <f>'Base Information Sheet'!$B$5</f>
        <v>0</v>
      </c>
      <c r="B61" s="502" t="str">
        <f>_xlfn.XLOOKUP($F61,'Physical Condition Assessment'!$U$10:$U$172,'Physical Condition Assessment'!A$10:A$172,"MISSING",0)</f>
        <v>D    SERVICES</v>
      </c>
      <c r="C61" s="502" t="str">
        <f>_xlfn.XLOOKUP($F61,'Physical Condition Assessment'!$U$10:$U$172,'Physical Condition Assessment'!B$10:B$172,"MISSING",0)</f>
        <v>D30 HVAC</v>
      </c>
      <c r="D61" s="502" t="str">
        <f>_xlfn.XLOOKUP($F61,'Physical Condition Assessment'!$U$10:$U$172,'Physical Condition Assessment'!C$10:C$172,"MISSING",0)</f>
        <v>D3040 Distribution Systems</v>
      </c>
      <c r="E61" s="502" t="str">
        <f>_xlfn.XLOOKUP($F61,'Physical Condition Assessment'!$U$10:$U$172,'Physical Condition Assessment'!D$10:D$172,"MISSING",0)</f>
        <v>Hot water return &amp; supply</v>
      </c>
      <c r="F61" s="502" t="s">
        <v>277</v>
      </c>
      <c r="G61" s="502" t="str">
        <f>_xlfn.XLOOKUP($F61,'Physical Condition Assessment'!$U$10:$U$172,'Physical Condition Assessment'!V$10:V$172,"MISSING",0)</f>
        <v>HVAC</v>
      </c>
      <c r="H61" s="471">
        <f>_xlfn.XLOOKUP($F61,'Physical Condition Assessment'!$U$10:$U$172,'Physical Condition Assessment'!S$10:S$172,"MISSING",0)</f>
        <v>0</v>
      </c>
      <c r="I61" s="471">
        <f>_xlfn.XLOOKUP($F61,'Physical Condition Assessment'!$U$10:$U$172,'Physical Condition Assessment'!AP$10:AP$172,"MISSING",0)</f>
        <v>0</v>
      </c>
      <c r="J61" s="525" t="e">
        <f t="shared" si="1"/>
        <v>#DIV/0!</v>
      </c>
      <c r="K61" s="471">
        <f ca="1">_xlfn.XLOOKUP($F61,'Physical Condition Assessment'!$U$10:$U$172,'Physical Condition Assessment'!AV$10:AV$172,"MISSING",0)</f>
        <v>0</v>
      </c>
      <c r="L61" s="471">
        <f ca="1">_xlfn.XLOOKUP($F61,'Physical Condition Assessment'!$U$10:$U$172,'Physical Condition Assessment'!AW$10:AW$172,"MISSING",0)</f>
        <v>0</v>
      </c>
      <c r="M61" s="471">
        <f ca="1">_xlfn.XLOOKUP($F61,'Physical Condition Assessment'!$U$10:$U$172,'Physical Condition Assessment'!AX$10:AX$172,"MISSING",0)</f>
        <v>0</v>
      </c>
      <c r="N61" s="471">
        <f ca="1">_xlfn.XLOOKUP($F61,'Physical Condition Assessment'!$U$10:$U$172,'Physical Condition Assessment'!AY$10:AY$172,"MISSING",0)</f>
        <v>0</v>
      </c>
    </row>
    <row r="62" spans="1:14" x14ac:dyDescent="0.2">
      <c r="A62" s="502">
        <f>'Base Information Sheet'!$B$5</f>
        <v>0</v>
      </c>
      <c r="B62" s="502" t="str">
        <f>_xlfn.XLOOKUP($F62,'Physical Condition Assessment'!$U$10:$U$172,'Physical Condition Assessment'!A$10:A$172,"MISSING",0)</f>
        <v>D    SERVICES</v>
      </c>
      <c r="C62" s="502" t="str">
        <f>_xlfn.XLOOKUP($F62,'Physical Condition Assessment'!$U$10:$U$172,'Physical Condition Assessment'!B$10:B$172,"MISSING",0)</f>
        <v>D30 HVAC</v>
      </c>
      <c r="D62" s="502" t="str">
        <f>_xlfn.XLOOKUP($F62,'Physical Condition Assessment'!$U$10:$U$172,'Physical Condition Assessment'!C$10:C$172,"MISSING",0)</f>
        <v>D3050 Terminal &amp; Package Units</v>
      </c>
      <c r="E62" s="502" t="str">
        <f>_xlfn.XLOOKUP($F62,'Physical Condition Assessment'!$U$10:$U$172,'Physical Condition Assessment'!D$10:D$172,"MISSING",0)</f>
        <v>Above ceiling VAV unit</v>
      </c>
      <c r="F62" s="502" t="s">
        <v>280</v>
      </c>
      <c r="G62" s="502" t="str">
        <f>_xlfn.XLOOKUP($F62,'Physical Condition Assessment'!$U$10:$U$172,'Physical Condition Assessment'!V$10:V$172,"MISSING",0)</f>
        <v>HVAC</v>
      </c>
      <c r="H62" s="471">
        <f>_xlfn.XLOOKUP($F62,'Physical Condition Assessment'!$U$10:$U$172,'Physical Condition Assessment'!S$10:S$172,"MISSING",0)</f>
        <v>0</v>
      </c>
      <c r="I62" s="471">
        <f>_xlfn.XLOOKUP($F62,'Physical Condition Assessment'!$U$10:$U$172,'Physical Condition Assessment'!AP$10:AP$172,"MISSING",0)</f>
        <v>0</v>
      </c>
      <c r="J62" s="525" t="e">
        <f t="shared" si="1"/>
        <v>#DIV/0!</v>
      </c>
      <c r="K62" s="471">
        <f ca="1">_xlfn.XLOOKUP($F62,'Physical Condition Assessment'!$U$10:$U$172,'Physical Condition Assessment'!AV$10:AV$172,"MISSING",0)</f>
        <v>0</v>
      </c>
      <c r="L62" s="471">
        <f ca="1">_xlfn.XLOOKUP($F62,'Physical Condition Assessment'!$U$10:$U$172,'Physical Condition Assessment'!AW$10:AW$172,"MISSING",0)</f>
        <v>0</v>
      </c>
      <c r="M62" s="471">
        <f ca="1">_xlfn.XLOOKUP($F62,'Physical Condition Assessment'!$U$10:$U$172,'Physical Condition Assessment'!AX$10:AX$172,"MISSING",0)</f>
        <v>0</v>
      </c>
      <c r="N62" s="471">
        <f ca="1">_xlfn.XLOOKUP($F62,'Physical Condition Assessment'!$U$10:$U$172,'Physical Condition Assessment'!AY$10:AY$172,"MISSING",0)</f>
        <v>0</v>
      </c>
    </row>
    <row r="63" spans="1:14" x14ac:dyDescent="0.2">
      <c r="A63" s="502">
        <f>'Base Information Sheet'!$B$5</f>
        <v>0</v>
      </c>
      <c r="B63" s="502" t="str">
        <f>_xlfn.XLOOKUP($F63,'Physical Condition Assessment'!$U$10:$U$172,'Physical Condition Assessment'!A$10:A$172,"MISSING",0)</f>
        <v>D    SERVICES</v>
      </c>
      <c r="C63" s="502" t="str">
        <f>_xlfn.XLOOKUP($F63,'Physical Condition Assessment'!$U$10:$U$172,'Physical Condition Assessment'!B$10:B$172,"MISSING",0)</f>
        <v>D30 HVAC</v>
      </c>
      <c r="D63" s="502" t="str">
        <f>_xlfn.XLOOKUP($F63,'Physical Condition Assessment'!$U$10:$U$172,'Physical Condition Assessment'!C$10:C$172,"MISSING",0)</f>
        <v>D3050 Terminal &amp; Package Units</v>
      </c>
      <c r="E63" s="502" t="str">
        <f>_xlfn.XLOOKUP($F63,'Physical Condition Assessment'!$U$10:$U$172,'Physical Condition Assessment'!D$10:D$172,"MISSING",0)</f>
        <v>In-room radiant unit</v>
      </c>
      <c r="F63" s="502" t="s">
        <v>284</v>
      </c>
      <c r="G63" s="502" t="str">
        <f>_xlfn.XLOOKUP($F63,'Physical Condition Assessment'!$U$10:$U$172,'Physical Condition Assessment'!V$10:V$172,"MISSING",0)</f>
        <v>HVAC</v>
      </c>
      <c r="H63" s="471">
        <f>_xlfn.XLOOKUP($F63,'Physical Condition Assessment'!$U$10:$U$172,'Physical Condition Assessment'!S$10:S$172,"MISSING",0)</f>
        <v>0</v>
      </c>
      <c r="I63" s="471">
        <f>_xlfn.XLOOKUP($F63,'Physical Condition Assessment'!$U$10:$U$172,'Physical Condition Assessment'!AP$10:AP$172,"MISSING",0)</f>
        <v>0</v>
      </c>
      <c r="J63" s="525" t="e">
        <f t="shared" si="1"/>
        <v>#DIV/0!</v>
      </c>
      <c r="K63" s="471">
        <f ca="1">_xlfn.XLOOKUP($F63,'Physical Condition Assessment'!$U$10:$U$172,'Physical Condition Assessment'!AV$10:AV$172,"MISSING",0)</f>
        <v>0</v>
      </c>
      <c r="L63" s="471">
        <f ca="1">_xlfn.XLOOKUP($F63,'Physical Condition Assessment'!$U$10:$U$172,'Physical Condition Assessment'!AW$10:AW$172,"MISSING",0)</f>
        <v>0</v>
      </c>
      <c r="M63" s="471">
        <f ca="1">_xlfn.XLOOKUP($F63,'Physical Condition Assessment'!$U$10:$U$172,'Physical Condition Assessment'!AX$10:AX$172,"MISSING",0)</f>
        <v>0</v>
      </c>
      <c r="N63" s="471">
        <f ca="1">_xlfn.XLOOKUP($F63,'Physical Condition Assessment'!$U$10:$U$172,'Physical Condition Assessment'!AY$10:AY$172,"MISSING",0)</f>
        <v>0</v>
      </c>
    </row>
    <row r="64" spans="1:14" x14ac:dyDescent="0.2">
      <c r="A64" s="502">
        <f>'Base Information Sheet'!$B$5</f>
        <v>0</v>
      </c>
      <c r="B64" s="502" t="str">
        <f>_xlfn.XLOOKUP($F64,'Physical Condition Assessment'!$U$10:$U$172,'Physical Condition Assessment'!A$10:A$172,"MISSING",0)</f>
        <v>D    SERVICES</v>
      </c>
      <c r="C64" s="502" t="str">
        <f>_xlfn.XLOOKUP($F64,'Physical Condition Assessment'!$U$10:$U$172,'Physical Condition Assessment'!B$10:B$172,"MISSING",0)</f>
        <v>D30 HVAC</v>
      </c>
      <c r="D64" s="502" t="str">
        <f>_xlfn.XLOOKUP($F64,'Physical Condition Assessment'!$U$10:$U$172,'Physical Condition Assessment'!C$10:C$172,"MISSING",0)</f>
        <v>D3050 Terminal &amp; Package Units</v>
      </c>
      <c r="E64" s="502" t="str">
        <f>_xlfn.XLOOKUP($F64,'Physical Condition Assessment'!$U$10:$U$172,'Physical Condition Assessment'!D$10:D$172,"MISSING",0)</f>
        <v>In-room ventilator unit</v>
      </c>
      <c r="F64" s="502" t="s">
        <v>282</v>
      </c>
      <c r="G64" s="502" t="str">
        <f>_xlfn.XLOOKUP($F64,'Physical Condition Assessment'!$U$10:$U$172,'Physical Condition Assessment'!V$10:V$172,"MISSING",0)</f>
        <v>HVAC</v>
      </c>
      <c r="H64" s="471">
        <f>_xlfn.XLOOKUP($F64,'Physical Condition Assessment'!$U$10:$U$172,'Physical Condition Assessment'!S$10:S$172,"MISSING",0)</f>
        <v>0</v>
      </c>
      <c r="I64" s="471">
        <f>_xlfn.XLOOKUP($F64,'Physical Condition Assessment'!$U$10:$U$172,'Physical Condition Assessment'!AP$10:AP$172,"MISSING",0)</f>
        <v>0</v>
      </c>
      <c r="J64" s="525" t="e">
        <f t="shared" si="1"/>
        <v>#DIV/0!</v>
      </c>
      <c r="K64" s="471">
        <f ca="1">_xlfn.XLOOKUP($F64,'Physical Condition Assessment'!$U$10:$U$172,'Physical Condition Assessment'!AV$10:AV$172,"MISSING",0)</f>
        <v>0</v>
      </c>
      <c r="L64" s="471">
        <f ca="1">_xlfn.XLOOKUP($F64,'Physical Condition Assessment'!$U$10:$U$172,'Physical Condition Assessment'!AW$10:AW$172,"MISSING",0)</f>
        <v>0</v>
      </c>
      <c r="M64" s="471">
        <f ca="1">_xlfn.XLOOKUP($F64,'Physical Condition Assessment'!$U$10:$U$172,'Physical Condition Assessment'!AX$10:AX$172,"MISSING",0)</f>
        <v>0</v>
      </c>
      <c r="N64" s="471">
        <f ca="1">_xlfn.XLOOKUP($F64,'Physical Condition Assessment'!$U$10:$U$172,'Physical Condition Assessment'!AY$10:AY$172,"MISSING",0)</f>
        <v>0</v>
      </c>
    </row>
    <row r="65" spans="1:14" x14ac:dyDescent="0.2">
      <c r="A65" s="502">
        <f>'Base Information Sheet'!$B$5</f>
        <v>0</v>
      </c>
      <c r="B65" s="502" t="str">
        <f>_xlfn.XLOOKUP($F65,'Physical Condition Assessment'!$U$10:$U$172,'Physical Condition Assessment'!A$10:A$172,"MISSING",0)</f>
        <v>D    SERVICES</v>
      </c>
      <c r="C65" s="502" t="str">
        <f>_xlfn.XLOOKUP($F65,'Physical Condition Assessment'!$U$10:$U$172,'Physical Condition Assessment'!B$10:B$172,"MISSING",0)</f>
        <v>D30 HVAC</v>
      </c>
      <c r="D65" s="502" t="str">
        <f>_xlfn.XLOOKUP($F65,'Physical Condition Assessment'!$U$10:$U$172,'Physical Condition Assessment'!C$10:C$172,"MISSING",0)</f>
        <v>D3060 Controls &amp; Instrumentation</v>
      </c>
      <c r="E65" s="502">
        <f>_xlfn.XLOOKUP($F65,'Physical Condition Assessment'!$U$10:$U$172,'Physical Condition Assessment'!D$10:D$172,"MISSING",0)</f>
        <v>0</v>
      </c>
      <c r="F65" s="502" t="s">
        <v>286</v>
      </c>
      <c r="G65" s="502" t="str">
        <f>_xlfn.XLOOKUP($F65,'Physical Condition Assessment'!$U$10:$U$172,'Physical Condition Assessment'!V$10:V$172,"MISSING",0)</f>
        <v>HVAC</v>
      </c>
      <c r="H65" s="471">
        <f>_xlfn.XLOOKUP($F65,'Physical Condition Assessment'!$U$10:$U$172,'Physical Condition Assessment'!S$10:S$172,"MISSING",0)</f>
        <v>0</v>
      </c>
      <c r="I65" s="471">
        <f>_xlfn.XLOOKUP($F65,'Physical Condition Assessment'!$U$10:$U$172,'Physical Condition Assessment'!AP$10:AP$172,"MISSING",0)</f>
        <v>0</v>
      </c>
      <c r="J65" s="525" t="e">
        <f t="shared" si="1"/>
        <v>#DIV/0!</v>
      </c>
      <c r="K65" s="471">
        <f ca="1">_xlfn.XLOOKUP($F65,'Physical Condition Assessment'!$U$10:$U$172,'Physical Condition Assessment'!AV$10:AV$172,"MISSING",0)</f>
        <v>0</v>
      </c>
      <c r="L65" s="471">
        <f ca="1">_xlfn.XLOOKUP($F65,'Physical Condition Assessment'!$U$10:$U$172,'Physical Condition Assessment'!AW$10:AW$172,"MISSING",0)</f>
        <v>0</v>
      </c>
      <c r="M65" s="471">
        <f ca="1">_xlfn.XLOOKUP($F65,'Physical Condition Assessment'!$U$10:$U$172,'Physical Condition Assessment'!AX$10:AX$172,"MISSING",0)</f>
        <v>0</v>
      </c>
      <c r="N65" s="471">
        <f ca="1">_xlfn.XLOOKUP($F65,'Physical Condition Assessment'!$U$10:$U$172,'Physical Condition Assessment'!AY$10:AY$172,"MISSING",0)</f>
        <v>0</v>
      </c>
    </row>
    <row r="66" spans="1:14" x14ac:dyDescent="0.2">
      <c r="A66" s="502">
        <f>'Base Information Sheet'!$B$5</f>
        <v>0</v>
      </c>
      <c r="B66" s="502" t="str">
        <f>_xlfn.XLOOKUP($F66,'Physical Condition Assessment'!$U$10:$U$172,'Physical Condition Assessment'!A$10:A$172,"MISSING",0)</f>
        <v>D    SERVICES</v>
      </c>
      <c r="C66" s="502" t="str">
        <f>_xlfn.XLOOKUP($F66,'Physical Condition Assessment'!$U$10:$U$172,'Physical Condition Assessment'!B$10:B$172,"MISSING",0)</f>
        <v>D30 HVAC</v>
      </c>
      <c r="D66" s="502" t="str">
        <f>_xlfn.XLOOKUP($F66,'Physical Condition Assessment'!$U$10:$U$172,'Physical Condition Assessment'!C$10:C$172,"MISSING",0)</f>
        <v>D3070 Systems Testing &amp; Balancing</v>
      </c>
      <c r="E66" s="502">
        <f>_xlfn.XLOOKUP($F66,'Physical Condition Assessment'!$U$10:$U$172,'Physical Condition Assessment'!D$10:D$172,"MISSING",0)</f>
        <v>0</v>
      </c>
      <c r="F66" s="502" t="s">
        <v>288</v>
      </c>
      <c r="G66" s="502" t="str">
        <f>_xlfn.XLOOKUP($F66,'Physical Condition Assessment'!$U$10:$U$172,'Physical Condition Assessment'!V$10:V$172,"MISSING",0)</f>
        <v>HVAC</v>
      </c>
      <c r="H66" s="471">
        <f>_xlfn.XLOOKUP($F66,'Physical Condition Assessment'!$U$10:$U$172,'Physical Condition Assessment'!S$10:S$172,"MISSING",0)</f>
        <v>0</v>
      </c>
      <c r="I66" s="471">
        <f>_xlfn.XLOOKUP($F66,'Physical Condition Assessment'!$U$10:$U$172,'Physical Condition Assessment'!AP$10:AP$172,"MISSING",0)</f>
        <v>0</v>
      </c>
      <c r="J66" s="525" t="e">
        <f t="shared" si="1"/>
        <v>#DIV/0!</v>
      </c>
      <c r="K66" s="471">
        <f ca="1">_xlfn.XLOOKUP($F66,'Physical Condition Assessment'!$U$10:$U$172,'Physical Condition Assessment'!AV$10:AV$172,"MISSING",0)</f>
        <v>0</v>
      </c>
      <c r="L66" s="471">
        <f ca="1">_xlfn.XLOOKUP($F66,'Physical Condition Assessment'!$U$10:$U$172,'Physical Condition Assessment'!AW$10:AW$172,"MISSING",0)</f>
        <v>0</v>
      </c>
      <c r="M66" s="471">
        <f ca="1">_xlfn.XLOOKUP($F66,'Physical Condition Assessment'!$U$10:$U$172,'Physical Condition Assessment'!AX$10:AX$172,"MISSING",0)</f>
        <v>0</v>
      </c>
      <c r="N66" s="471">
        <f ca="1">_xlfn.XLOOKUP($F66,'Physical Condition Assessment'!$U$10:$U$172,'Physical Condition Assessment'!AY$10:AY$172,"MISSING",0)</f>
        <v>0</v>
      </c>
    </row>
    <row r="67" spans="1:14" x14ac:dyDescent="0.2">
      <c r="A67" s="502">
        <f>'Base Information Sheet'!$B$5</f>
        <v>0</v>
      </c>
      <c r="B67" s="502" t="str">
        <f>_xlfn.XLOOKUP($F67,'Physical Condition Assessment'!$U$10:$U$172,'Physical Condition Assessment'!A$10:A$172,"MISSING",0)</f>
        <v>C    INTERIORS</v>
      </c>
      <c r="C67" s="502" t="str">
        <f>_xlfn.XLOOKUP($F67,'Physical Condition Assessment'!$U$10:$U$172,'Physical Condition Assessment'!B$10:B$172,"MISSING",0)</f>
        <v>C10 Interior Construction</v>
      </c>
      <c r="D67" s="502" t="str">
        <f>_xlfn.XLOOKUP($F67,'Physical Condition Assessment'!$U$10:$U$172,'Physical Condition Assessment'!C$10:C$172,"MISSING",0)</f>
        <v>C1010 Partitions</v>
      </c>
      <c r="E67" s="502" t="str">
        <f>_xlfn.XLOOKUP($F67,'Physical Condition Assessment'!$U$10:$U$172,'Physical Condition Assessment'!D$10:D$172,"MISSING",0)</f>
        <v>Curtain Wall</v>
      </c>
      <c r="F67" s="502" t="s">
        <v>164</v>
      </c>
      <c r="G67" s="502" t="str">
        <f>_xlfn.XLOOKUP($F67,'Physical Condition Assessment'!$U$10:$U$172,'Physical Condition Assessment'!V$10:V$172,"MISSING",0)</f>
        <v>Interior Structure</v>
      </c>
      <c r="H67" s="471">
        <f>_xlfn.XLOOKUP($F67,'Physical Condition Assessment'!$U$10:$U$172,'Physical Condition Assessment'!S$10:S$172,"MISSING",0)</f>
        <v>0</v>
      </c>
      <c r="I67" s="471">
        <f>_xlfn.XLOOKUP($F67,'Physical Condition Assessment'!$U$10:$U$172,'Physical Condition Assessment'!AP$10:AP$172,"MISSING",0)</f>
        <v>0</v>
      </c>
      <c r="J67" s="525" t="e">
        <f t="shared" ref="J67:J130" si="10">H67/I67</f>
        <v>#DIV/0!</v>
      </c>
      <c r="K67" s="471">
        <f ca="1">_xlfn.XLOOKUP($F67,'Physical Condition Assessment'!$U$10:$U$172,'Physical Condition Assessment'!AV$10:AV$172,"MISSING",0)</f>
        <v>0</v>
      </c>
      <c r="L67" s="471">
        <f ca="1">_xlfn.XLOOKUP($F67,'Physical Condition Assessment'!$U$10:$U$172,'Physical Condition Assessment'!AW$10:AW$172,"MISSING",0)</f>
        <v>0</v>
      </c>
      <c r="M67" s="471">
        <f ca="1">_xlfn.XLOOKUP($F67,'Physical Condition Assessment'!$U$10:$U$172,'Physical Condition Assessment'!AX$10:AX$172,"MISSING",0)</f>
        <v>0</v>
      </c>
      <c r="N67" s="471">
        <f ca="1">_xlfn.XLOOKUP($F67,'Physical Condition Assessment'!$U$10:$U$172,'Physical Condition Assessment'!AY$10:AY$172,"MISSING",0)</f>
        <v>0</v>
      </c>
    </row>
    <row r="68" spans="1:14" x14ac:dyDescent="0.2">
      <c r="A68" s="502">
        <f>'Base Information Sheet'!$B$5</f>
        <v>0</v>
      </c>
      <c r="B68" s="502" t="str">
        <f>_xlfn.XLOOKUP($F68,'Physical Condition Assessment'!$U$10:$U$172,'Physical Condition Assessment'!A$10:A$172,"MISSING",0)</f>
        <v>C    INTERIORS</v>
      </c>
      <c r="C68" s="502" t="str">
        <f>_xlfn.XLOOKUP($F68,'Physical Condition Assessment'!$U$10:$U$172,'Physical Condition Assessment'!B$10:B$172,"MISSING",0)</f>
        <v>C10 Interior Construction</v>
      </c>
      <c r="D68" s="502" t="str">
        <f>_xlfn.XLOOKUP($F68,'Physical Condition Assessment'!$U$10:$U$172,'Physical Condition Assessment'!C$10:C$172,"MISSING",0)</f>
        <v>C1010 Partitions</v>
      </c>
      <c r="E68" s="502" t="str">
        <f>_xlfn.XLOOKUP($F68,'Physical Condition Assessment'!$U$10:$U$172,'Physical Condition Assessment'!D$10:D$172,"MISSING",0)</f>
        <v>Framed</v>
      </c>
      <c r="F68" s="502" t="s">
        <v>162</v>
      </c>
      <c r="G68" s="502" t="str">
        <f>_xlfn.XLOOKUP($F68,'Physical Condition Assessment'!$U$10:$U$172,'Physical Condition Assessment'!V$10:V$172,"MISSING",0)</f>
        <v>Interior Structure</v>
      </c>
      <c r="H68" s="471">
        <f>_xlfn.XLOOKUP($F68,'Physical Condition Assessment'!$U$10:$U$172,'Physical Condition Assessment'!S$10:S$172,"MISSING",0)</f>
        <v>0</v>
      </c>
      <c r="I68" s="471">
        <f>_xlfn.XLOOKUP($F68,'Physical Condition Assessment'!$U$10:$U$172,'Physical Condition Assessment'!AP$10:AP$172,"MISSING",0)</f>
        <v>0</v>
      </c>
      <c r="J68" s="525" t="e">
        <f t="shared" si="10"/>
        <v>#DIV/0!</v>
      </c>
      <c r="K68" s="471">
        <f ca="1">_xlfn.XLOOKUP($F68,'Physical Condition Assessment'!$U$10:$U$172,'Physical Condition Assessment'!AV$10:AV$172,"MISSING",0)</f>
        <v>0</v>
      </c>
      <c r="L68" s="471">
        <f ca="1">_xlfn.XLOOKUP($F68,'Physical Condition Assessment'!$U$10:$U$172,'Physical Condition Assessment'!AW$10:AW$172,"MISSING",0)</f>
        <v>0</v>
      </c>
      <c r="M68" s="471">
        <f ca="1">_xlfn.XLOOKUP($F68,'Physical Condition Assessment'!$U$10:$U$172,'Physical Condition Assessment'!AX$10:AX$172,"MISSING",0)</f>
        <v>0</v>
      </c>
      <c r="N68" s="471">
        <f ca="1">_xlfn.XLOOKUP($F68,'Physical Condition Assessment'!$U$10:$U$172,'Physical Condition Assessment'!AY$10:AY$172,"MISSING",0)</f>
        <v>0</v>
      </c>
    </row>
    <row r="69" spans="1:14" x14ac:dyDescent="0.2">
      <c r="A69" s="502">
        <f>'Base Information Sheet'!$B$5</f>
        <v>0</v>
      </c>
      <c r="B69" s="502" t="str">
        <f>_xlfn.XLOOKUP($F69,'Physical Condition Assessment'!$U$10:$U$172,'Physical Condition Assessment'!A$10:A$172,"MISSING",0)</f>
        <v>C    INTERIORS</v>
      </c>
      <c r="C69" s="502" t="str">
        <f>_xlfn.XLOOKUP($F69,'Physical Condition Assessment'!$U$10:$U$172,'Physical Condition Assessment'!B$10:B$172,"MISSING",0)</f>
        <v>C10 Interior Construction</v>
      </c>
      <c r="D69" s="502" t="str">
        <f>_xlfn.XLOOKUP($F69,'Physical Condition Assessment'!$U$10:$U$172,'Physical Condition Assessment'!C$10:C$172,"MISSING",0)</f>
        <v>C1010 Partitions</v>
      </c>
      <c r="E69" s="502" t="str">
        <f>_xlfn.XLOOKUP($F69,'Physical Condition Assessment'!$U$10:$U$172,'Physical Condition Assessment'!D$10:D$172,"MISSING",0)</f>
        <v>Masonry</v>
      </c>
      <c r="F69" s="502" t="s">
        <v>163</v>
      </c>
      <c r="G69" s="502" t="str">
        <f>_xlfn.XLOOKUP($F69,'Physical Condition Assessment'!$U$10:$U$172,'Physical Condition Assessment'!V$10:V$172,"MISSING",0)</f>
        <v>Interior Structure</v>
      </c>
      <c r="H69" s="471">
        <f>_xlfn.XLOOKUP($F69,'Physical Condition Assessment'!$U$10:$U$172,'Physical Condition Assessment'!S$10:S$172,"MISSING",0)</f>
        <v>0</v>
      </c>
      <c r="I69" s="471">
        <f>_xlfn.XLOOKUP($F69,'Physical Condition Assessment'!$U$10:$U$172,'Physical Condition Assessment'!AP$10:AP$172,"MISSING",0)</f>
        <v>0</v>
      </c>
      <c r="J69" s="525" t="e">
        <f t="shared" si="10"/>
        <v>#DIV/0!</v>
      </c>
      <c r="K69" s="471">
        <f ca="1">_xlfn.XLOOKUP($F69,'Physical Condition Assessment'!$U$10:$U$172,'Physical Condition Assessment'!AV$10:AV$172,"MISSING",0)</f>
        <v>0</v>
      </c>
      <c r="L69" s="471">
        <f ca="1">_xlfn.XLOOKUP($F69,'Physical Condition Assessment'!$U$10:$U$172,'Physical Condition Assessment'!AW$10:AW$172,"MISSING",0)</f>
        <v>0</v>
      </c>
      <c r="M69" s="471">
        <f ca="1">_xlfn.XLOOKUP($F69,'Physical Condition Assessment'!$U$10:$U$172,'Physical Condition Assessment'!AX$10:AX$172,"MISSING",0)</f>
        <v>0</v>
      </c>
      <c r="N69" s="471">
        <f ca="1">_xlfn.XLOOKUP($F69,'Physical Condition Assessment'!$U$10:$U$172,'Physical Condition Assessment'!AY$10:AY$172,"MISSING",0)</f>
        <v>0</v>
      </c>
    </row>
    <row r="70" spans="1:14" x14ac:dyDescent="0.2">
      <c r="A70" s="502">
        <f>'Base Information Sheet'!$B$5</f>
        <v>0</v>
      </c>
      <c r="B70" s="502" t="str">
        <f>_xlfn.XLOOKUP($F70,'Physical Condition Assessment'!$U$10:$U$172,'Physical Condition Assessment'!A$10:A$172,"MISSING",0)</f>
        <v>C    INTERIORS</v>
      </c>
      <c r="C70" s="502" t="str">
        <f>_xlfn.XLOOKUP($F70,'Physical Condition Assessment'!$U$10:$U$172,'Physical Condition Assessment'!B$10:B$172,"MISSING",0)</f>
        <v>C20 Stairs</v>
      </c>
      <c r="D70" s="502" t="str">
        <f>_xlfn.XLOOKUP($F70,'Physical Condition Assessment'!$U$10:$U$172,'Physical Condition Assessment'!C$10:C$172,"MISSING",0)</f>
        <v>C2010 Stair Construction</v>
      </c>
      <c r="E70" s="502" t="str">
        <f>_xlfn.XLOOKUP($F70,'Physical Condition Assessment'!$U$10:$U$172,'Physical Condition Assessment'!D$10:D$172,"MISSING",0)</f>
        <v>Concrete</v>
      </c>
      <c r="F70" s="502" t="s">
        <v>179</v>
      </c>
      <c r="G70" s="502" t="str">
        <f>_xlfn.XLOOKUP($F70,'Physical Condition Assessment'!$U$10:$U$172,'Physical Condition Assessment'!V$10:V$172,"MISSING",0)</f>
        <v>Interior Structure</v>
      </c>
      <c r="H70" s="471">
        <f>_xlfn.XLOOKUP($F70,'Physical Condition Assessment'!$U$10:$U$172,'Physical Condition Assessment'!S$10:S$172,"MISSING",0)</f>
        <v>0</v>
      </c>
      <c r="I70" s="471">
        <f>_xlfn.XLOOKUP($F70,'Physical Condition Assessment'!$U$10:$U$172,'Physical Condition Assessment'!AP$10:AP$172,"MISSING",0)</f>
        <v>0</v>
      </c>
      <c r="J70" s="525" t="e">
        <f t="shared" si="10"/>
        <v>#DIV/0!</v>
      </c>
      <c r="K70" s="471">
        <f ca="1">_xlfn.XLOOKUP($F70,'Physical Condition Assessment'!$U$10:$U$172,'Physical Condition Assessment'!AV$10:AV$172,"MISSING",0)</f>
        <v>0</v>
      </c>
      <c r="L70" s="471">
        <f ca="1">_xlfn.XLOOKUP($F70,'Physical Condition Assessment'!$U$10:$U$172,'Physical Condition Assessment'!AW$10:AW$172,"MISSING",0)</f>
        <v>0</v>
      </c>
      <c r="M70" s="471">
        <f ca="1">_xlfn.XLOOKUP($F70,'Physical Condition Assessment'!$U$10:$U$172,'Physical Condition Assessment'!AX$10:AX$172,"MISSING",0)</f>
        <v>0</v>
      </c>
      <c r="N70" s="471">
        <f ca="1">_xlfn.XLOOKUP($F70,'Physical Condition Assessment'!$U$10:$U$172,'Physical Condition Assessment'!AY$10:AY$172,"MISSING",0)</f>
        <v>0</v>
      </c>
    </row>
    <row r="71" spans="1:14" x14ac:dyDescent="0.2">
      <c r="A71" s="502">
        <f>'Base Information Sheet'!$B$5</f>
        <v>0</v>
      </c>
      <c r="B71" s="502" t="str">
        <f>_xlfn.XLOOKUP($F71,'Physical Condition Assessment'!$U$10:$U$172,'Physical Condition Assessment'!A$10:A$172,"MISSING",0)</f>
        <v>C    INTERIORS</v>
      </c>
      <c r="C71" s="502" t="str">
        <f>_xlfn.XLOOKUP($F71,'Physical Condition Assessment'!$U$10:$U$172,'Physical Condition Assessment'!B$10:B$172,"MISSING",0)</f>
        <v>C20 Stairs</v>
      </c>
      <c r="D71" s="502" t="str">
        <f>_xlfn.XLOOKUP($F71,'Physical Condition Assessment'!$U$10:$U$172,'Physical Condition Assessment'!C$10:C$172,"MISSING",0)</f>
        <v>C2010 Stair Construction</v>
      </c>
      <c r="E71" s="502" t="str">
        <f>_xlfn.XLOOKUP($F71,'Physical Condition Assessment'!$U$10:$U$172,'Physical Condition Assessment'!D$10:D$172,"MISSING",0)</f>
        <v>Metal</v>
      </c>
      <c r="F71" s="502" t="s">
        <v>178</v>
      </c>
      <c r="G71" s="502" t="str">
        <f>_xlfn.XLOOKUP($F71,'Physical Condition Assessment'!$U$10:$U$172,'Physical Condition Assessment'!V$10:V$172,"MISSING",0)</f>
        <v>Interior Structure</v>
      </c>
      <c r="H71" s="471">
        <f>_xlfn.XLOOKUP($F71,'Physical Condition Assessment'!$U$10:$U$172,'Physical Condition Assessment'!S$10:S$172,"MISSING",0)</f>
        <v>0</v>
      </c>
      <c r="I71" s="471">
        <f>_xlfn.XLOOKUP($F71,'Physical Condition Assessment'!$U$10:$U$172,'Physical Condition Assessment'!AP$10:AP$172,"MISSING",0)</f>
        <v>0</v>
      </c>
      <c r="J71" s="525" t="e">
        <f t="shared" si="10"/>
        <v>#DIV/0!</v>
      </c>
      <c r="K71" s="471">
        <f ca="1">_xlfn.XLOOKUP($F71,'Physical Condition Assessment'!$U$10:$U$172,'Physical Condition Assessment'!AV$10:AV$172,"MISSING",0)</f>
        <v>0</v>
      </c>
      <c r="L71" s="471">
        <f ca="1">_xlfn.XLOOKUP($F71,'Physical Condition Assessment'!$U$10:$U$172,'Physical Condition Assessment'!AW$10:AW$172,"MISSING",0)</f>
        <v>0</v>
      </c>
      <c r="M71" s="471">
        <f ca="1">_xlfn.XLOOKUP($F71,'Physical Condition Assessment'!$U$10:$U$172,'Physical Condition Assessment'!AX$10:AX$172,"MISSING",0)</f>
        <v>0</v>
      </c>
      <c r="N71" s="471">
        <f ca="1">_xlfn.XLOOKUP($F71,'Physical Condition Assessment'!$U$10:$U$172,'Physical Condition Assessment'!AY$10:AY$172,"MISSING",0)</f>
        <v>0</v>
      </c>
    </row>
    <row r="72" spans="1:14" x14ac:dyDescent="0.2">
      <c r="A72" s="502">
        <f>'Base Information Sheet'!$B$5</f>
        <v>0</v>
      </c>
      <c r="B72" s="502" t="str">
        <f>_xlfn.XLOOKUP($F72,'Physical Condition Assessment'!$U$10:$U$172,'Physical Condition Assessment'!A$10:A$172,"MISSING",0)</f>
        <v>C    INTERIORS</v>
      </c>
      <c r="C72" s="502" t="str">
        <f>_xlfn.XLOOKUP($F72,'Physical Condition Assessment'!$U$10:$U$172,'Physical Condition Assessment'!B$10:B$172,"MISSING",0)</f>
        <v>C20 Stairs</v>
      </c>
      <c r="D72" s="502" t="str">
        <f>_xlfn.XLOOKUP($F72,'Physical Condition Assessment'!$U$10:$U$172,'Physical Condition Assessment'!C$10:C$172,"MISSING",0)</f>
        <v>C2010 Stair Construction</v>
      </c>
      <c r="E72" s="502" t="str">
        <f>_xlfn.XLOOKUP($F72,'Physical Condition Assessment'!$U$10:$U$172,'Physical Condition Assessment'!D$10:D$172,"MISSING",0)</f>
        <v>Wood</v>
      </c>
      <c r="F72" s="502" t="s">
        <v>177</v>
      </c>
      <c r="G72" s="502" t="str">
        <f>_xlfn.XLOOKUP($F72,'Physical Condition Assessment'!$U$10:$U$172,'Physical Condition Assessment'!V$10:V$172,"MISSING",0)</f>
        <v>Interior Structure</v>
      </c>
      <c r="H72" s="471">
        <f>_xlfn.XLOOKUP($F72,'Physical Condition Assessment'!$U$10:$U$172,'Physical Condition Assessment'!S$10:S$172,"MISSING",0)</f>
        <v>0</v>
      </c>
      <c r="I72" s="471">
        <f>_xlfn.XLOOKUP($F72,'Physical Condition Assessment'!$U$10:$U$172,'Physical Condition Assessment'!AP$10:AP$172,"MISSING",0)</f>
        <v>0</v>
      </c>
      <c r="J72" s="525" t="e">
        <f t="shared" si="10"/>
        <v>#DIV/0!</v>
      </c>
      <c r="K72" s="471">
        <f ca="1">_xlfn.XLOOKUP($F72,'Physical Condition Assessment'!$U$10:$U$172,'Physical Condition Assessment'!AV$10:AV$172,"MISSING",0)</f>
        <v>0</v>
      </c>
      <c r="L72" s="471">
        <f ca="1">_xlfn.XLOOKUP($F72,'Physical Condition Assessment'!$U$10:$U$172,'Physical Condition Assessment'!AW$10:AW$172,"MISSING",0)</f>
        <v>0</v>
      </c>
      <c r="M72" s="471">
        <f ca="1">_xlfn.XLOOKUP($F72,'Physical Condition Assessment'!$U$10:$U$172,'Physical Condition Assessment'!AX$10:AX$172,"MISSING",0)</f>
        <v>0</v>
      </c>
      <c r="N72" s="471">
        <f ca="1">_xlfn.XLOOKUP($F72,'Physical Condition Assessment'!$U$10:$U$172,'Physical Condition Assessment'!AY$10:AY$172,"MISSING",0)</f>
        <v>0</v>
      </c>
    </row>
    <row r="73" spans="1:14" x14ac:dyDescent="0.2">
      <c r="A73" s="502">
        <f>'Base Information Sheet'!$B$5</f>
        <v>0</v>
      </c>
      <c r="B73" s="502" t="str">
        <f>_xlfn.XLOOKUP($F73,'Physical Condition Assessment'!$U$10:$U$172,'Physical Condition Assessment'!A$10:A$172,"MISSING",0)</f>
        <v>C    INTERIORS</v>
      </c>
      <c r="C73" s="502" t="str">
        <f>_xlfn.XLOOKUP($F73,'Physical Condition Assessment'!$U$10:$U$172,'Physical Condition Assessment'!B$10:B$172,"MISSING",0)</f>
        <v>C20 Stairs</v>
      </c>
      <c r="D73" s="502" t="str">
        <f>_xlfn.XLOOKUP($F73,'Physical Condition Assessment'!$U$10:$U$172,'Physical Condition Assessment'!C$10:C$172,"MISSING",0)</f>
        <v>C2020 Stair Finishes</v>
      </c>
      <c r="E73" s="502" t="str">
        <f>_xlfn.XLOOKUP($F73,'Physical Condition Assessment'!$U$10:$U$172,'Physical Condition Assessment'!D$10:D$172,"MISSING",0)</f>
        <v>Concrete Fill</v>
      </c>
      <c r="F73" s="502" t="s">
        <v>182</v>
      </c>
      <c r="G73" s="502" t="str">
        <f>_xlfn.XLOOKUP($F73,'Physical Condition Assessment'!$U$10:$U$172,'Physical Condition Assessment'!V$10:V$172,"MISSING",0)</f>
        <v>Interior Structure</v>
      </c>
      <c r="H73" s="471">
        <f>_xlfn.XLOOKUP($F73,'Physical Condition Assessment'!$U$10:$U$172,'Physical Condition Assessment'!S$10:S$172,"MISSING",0)</f>
        <v>0</v>
      </c>
      <c r="I73" s="471">
        <f>_xlfn.XLOOKUP($F73,'Physical Condition Assessment'!$U$10:$U$172,'Physical Condition Assessment'!AP$10:AP$172,"MISSING",0)</f>
        <v>0</v>
      </c>
      <c r="J73" s="525" t="e">
        <f t="shared" si="10"/>
        <v>#DIV/0!</v>
      </c>
      <c r="K73" s="471">
        <f ca="1">_xlfn.XLOOKUP($F73,'Physical Condition Assessment'!$U$10:$U$172,'Physical Condition Assessment'!AV$10:AV$172,"MISSING",0)</f>
        <v>0</v>
      </c>
      <c r="L73" s="471">
        <f ca="1">_xlfn.XLOOKUP($F73,'Physical Condition Assessment'!$U$10:$U$172,'Physical Condition Assessment'!AW$10:AW$172,"MISSING",0)</f>
        <v>0</v>
      </c>
      <c r="M73" s="471">
        <f ca="1">_xlfn.XLOOKUP($F73,'Physical Condition Assessment'!$U$10:$U$172,'Physical Condition Assessment'!AX$10:AX$172,"MISSING",0)</f>
        <v>0</v>
      </c>
      <c r="N73" s="471">
        <f ca="1">_xlfn.XLOOKUP($F73,'Physical Condition Assessment'!$U$10:$U$172,'Physical Condition Assessment'!AY$10:AY$172,"MISSING",0)</f>
        <v>0</v>
      </c>
    </row>
    <row r="74" spans="1:14" x14ac:dyDescent="0.2">
      <c r="A74" s="502">
        <f>'Base Information Sheet'!$B$5</f>
        <v>0</v>
      </c>
      <c r="B74" s="502" t="str">
        <f>_xlfn.XLOOKUP($F74,'Physical Condition Assessment'!$U$10:$U$172,'Physical Condition Assessment'!A$10:A$172,"MISSING",0)</f>
        <v>C    INTERIORS</v>
      </c>
      <c r="C74" s="502" t="str">
        <f>_xlfn.XLOOKUP($F74,'Physical Condition Assessment'!$U$10:$U$172,'Physical Condition Assessment'!B$10:B$172,"MISSING",0)</f>
        <v>C20 Stairs</v>
      </c>
      <c r="D74" s="502" t="str">
        <f>_xlfn.XLOOKUP($F74,'Physical Condition Assessment'!$U$10:$U$172,'Physical Condition Assessment'!C$10:C$172,"MISSING",0)</f>
        <v>C2020 Stair Finishes</v>
      </c>
      <c r="E74" s="502" t="str">
        <f>_xlfn.XLOOKUP($F74,'Physical Condition Assessment'!$U$10:$U$172,'Physical Condition Assessment'!D$10:D$172,"MISSING",0)</f>
        <v>Metal Grating</v>
      </c>
      <c r="F74" s="502" t="s">
        <v>187</v>
      </c>
      <c r="G74" s="502" t="str">
        <f>_xlfn.XLOOKUP($F74,'Physical Condition Assessment'!$U$10:$U$172,'Physical Condition Assessment'!V$10:V$172,"MISSING",0)</f>
        <v>Interior Structure</v>
      </c>
      <c r="H74" s="471">
        <f>_xlfn.XLOOKUP($F74,'Physical Condition Assessment'!$U$10:$U$172,'Physical Condition Assessment'!S$10:S$172,"MISSING",0)</f>
        <v>0</v>
      </c>
      <c r="I74" s="471">
        <f>_xlfn.XLOOKUP($F74,'Physical Condition Assessment'!$U$10:$U$172,'Physical Condition Assessment'!AP$10:AP$172,"MISSING",0)</f>
        <v>0</v>
      </c>
      <c r="J74" s="525" t="e">
        <f t="shared" si="10"/>
        <v>#DIV/0!</v>
      </c>
      <c r="K74" s="471">
        <f ca="1">_xlfn.XLOOKUP($F74,'Physical Condition Assessment'!$U$10:$U$172,'Physical Condition Assessment'!AV$10:AV$172,"MISSING",0)</f>
        <v>0</v>
      </c>
      <c r="L74" s="471">
        <f ca="1">_xlfn.XLOOKUP($F74,'Physical Condition Assessment'!$U$10:$U$172,'Physical Condition Assessment'!AW$10:AW$172,"MISSING",0)</f>
        <v>0</v>
      </c>
      <c r="M74" s="471">
        <f ca="1">_xlfn.XLOOKUP($F74,'Physical Condition Assessment'!$U$10:$U$172,'Physical Condition Assessment'!AX$10:AX$172,"MISSING",0)</f>
        <v>0</v>
      </c>
      <c r="N74" s="471">
        <f ca="1">_xlfn.XLOOKUP($F74,'Physical Condition Assessment'!$U$10:$U$172,'Physical Condition Assessment'!AY$10:AY$172,"MISSING",0)</f>
        <v>0</v>
      </c>
    </row>
    <row r="75" spans="1:14" x14ac:dyDescent="0.2">
      <c r="A75" s="502">
        <f>'Base Information Sheet'!$B$5</f>
        <v>0</v>
      </c>
      <c r="B75" s="502" t="str">
        <f>_xlfn.XLOOKUP($F75,'Physical Condition Assessment'!$U$10:$U$172,'Physical Condition Assessment'!A$10:A$172,"MISSING",0)</f>
        <v>C    INTERIORS</v>
      </c>
      <c r="C75" s="502" t="str">
        <f>_xlfn.XLOOKUP($F75,'Physical Condition Assessment'!$U$10:$U$172,'Physical Condition Assessment'!B$10:B$172,"MISSING",0)</f>
        <v>C20 Stairs</v>
      </c>
      <c r="D75" s="502" t="str">
        <f>_xlfn.XLOOKUP($F75,'Physical Condition Assessment'!$U$10:$U$172,'Physical Condition Assessment'!C$10:C$172,"MISSING",0)</f>
        <v>C2020 Stair Finishes</v>
      </c>
      <c r="E75" s="502" t="str">
        <f>_xlfn.XLOOKUP($F75,'Physical Condition Assessment'!$U$10:$U$172,'Physical Condition Assessment'!D$10:D$172,"MISSING",0)</f>
        <v>Resilient</v>
      </c>
      <c r="F75" s="502" t="s">
        <v>184</v>
      </c>
      <c r="G75" s="502" t="str">
        <f>_xlfn.XLOOKUP($F75,'Physical Condition Assessment'!$U$10:$U$172,'Physical Condition Assessment'!V$10:V$172,"MISSING",0)</f>
        <v>Interior Structure</v>
      </c>
      <c r="H75" s="471">
        <f>_xlfn.XLOOKUP($F75,'Physical Condition Assessment'!$U$10:$U$172,'Physical Condition Assessment'!S$10:S$172,"MISSING",0)</f>
        <v>0</v>
      </c>
      <c r="I75" s="471">
        <f>_xlfn.XLOOKUP($F75,'Physical Condition Assessment'!$U$10:$U$172,'Physical Condition Assessment'!AP$10:AP$172,"MISSING",0)</f>
        <v>0</v>
      </c>
      <c r="J75" s="525" t="e">
        <f t="shared" si="10"/>
        <v>#DIV/0!</v>
      </c>
      <c r="K75" s="471">
        <f ca="1">_xlfn.XLOOKUP($F75,'Physical Condition Assessment'!$U$10:$U$172,'Physical Condition Assessment'!AV$10:AV$172,"MISSING",0)</f>
        <v>0</v>
      </c>
      <c r="L75" s="471">
        <f ca="1">_xlfn.XLOOKUP($F75,'Physical Condition Assessment'!$U$10:$U$172,'Physical Condition Assessment'!AW$10:AW$172,"MISSING",0)</f>
        <v>0</v>
      </c>
      <c r="M75" s="471">
        <f ca="1">_xlfn.XLOOKUP($F75,'Physical Condition Assessment'!$U$10:$U$172,'Physical Condition Assessment'!AX$10:AX$172,"MISSING",0)</f>
        <v>0</v>
      </c>
      <c r="N75" s="471">
        <f ca="1">_xlfn.XLOOKUP($F75,'Physical Condition Assessment'!$U$10:$U$172,'Physical Condition Assessment'!AY$10:AY$172,"MISSING",0)</f>
        <v>0</v>
      </c>
    </row>
    <row r="76" spans="1:14" x14ac:dyDescent="0.2">
      <c r="A76" s="502">
        <f>'Base Information Sheet'!$B$5</f>
        <v>0</v>
      </c>
      <c r="B76" s="502" t="str">
        <f>_xlfn.XLOOKUP($F76,'Physical Condition Assessment'!$U$10:$U$172,'Physical Condition Assessment'!A$10:A$172,"MISSING",0)</f>
        <v>C    INTERIORS</v>
      </c>
      <c r="C76" s="502" t="str">
        <f>_xlfn.XLOOKUP($F76,'Physical Condition Assessment'!$U$10:$U$172,'Physical Condition Assessment'!B$10:B$172,"MISSING",0)</f>
        <v>C20 Stairs</v>
      </c>
      <c r="D76" s="502" t="str">
        <f>_xlfn.XLOOKUP($F76,'Physical Condition Assessment'!$U$10:$U$172,'Physical Condition Assessment'!C$10:C$172,"MISSING",0)</f>
        <v>C2020 Stair Finishes</v>
      </c>
      <c r="E76" s="502" t="str">
        <f>_xlfn.XLOOKUP($F76,'Physical Condition Assessment'!$U$10:$U$172,'Physical Condition Assessment'!D$10:D$172,"MISSING",0)</f>
        <v>Wood</v>
      </c>
      <c r="F76" s="502" t="s">
        <v>185</v>
      </c>
      <c r="G76" s="502" t="str">
        <f>_xlfn.XLOOKUP($F76,'Physical Condition Assessment'!$U$10:$U$172,'Physical Condition Assessment'!V$10:V$172,"MISSING",0)</f>
        <v>Interior Structure</v>
      </c>
      <c r="H76" s="471">
        <f>_xlfn.XLOOKUP($F76,'Physical Condition Assessment'!$U$10:$U$172,'Physical Condition Assessment'!S$10:S$172,"MISSING",0)</f>
        <v>0</v>
      </c>
      <c r="I76" s="471">
        <f>_xlfn.XLOOKUP($F76,'Physical Condition Assessment'!$U$10:$U$172,'Physical Condition Assessment'!AP$10:AP$172,"MISSING",0)</f>
        <v>0</v>
      </c>
      <c r="J76" s="525" t="e">
        <f t="shared" si="10"/>
        <v>#DIV/0!</v>
      </c>
      <c r="K76" s="471">
        <f ca="1">_xlfn.XLOOKUP($F76,'Physical Condition Assessment'!$U$10:$U$172,'Physical Condition Assessment'!AV$10:AV$172,"MISSING",0)</f>
        <v>0</v>
      </c>
      <c r="L76" s="471">
        <f ca="1">_xlfn.XLOOKUP($F76,'Physical Condition Assessment'!$U$10:$U$172,'Physical Condition Assessment'!AW$10:AW$172,"MISSING",0)</f>
        <v>0</v>
      </c>
      <c r="M76" s="471">
        <f ca="1">_xlfn.XLOOKUP($F76,'Physical Condition Assessment'!$U$10:$U$172,'Physical Condition Assessment'!AX$10:AX$172,"MISSING",0)</f>
        <v>0</v>
      </c>
      <c r="N76" s="471">
        <f ca="1">_xlfn.XLOOKUP($F76,'Physical Condition Assessment'!$U$10:$U$172,'Physical Condition Assessment'!AY$10:AY$172,"MISSING",0)</f>
        <v>0</v>
      </c>
    </row>
    <row r="77" spans="1:14" x14ac:dyDescent="0.2">
      <c r="A77" s="502">
        <f>'Base Information Sheet'!$B$5</f>
        <v>0</v>
      </c>
      <c r="B77" s="502" t="str">
        <f>_xlfn.XLOOKUP($F77,'Physical Condition Assessment'!$U$10:$U$172,'Physical Condition Assessment'!A$10:A$172,"MISSING",0)</f>
        <v>C    INTERIORS</v>
      </c>
      <c r="C77" s="502" t="str">
        <f>_xlfn.XLOOKUP($F77,'Physical Condition Assessment'!$U$10:$U$172,'Physical Condition Assessment'!B$10:B$172,"MISSING",0)</f>
        <v>C30 Interior Finishes</v>
      </c>
      <c r="D77" s="502" t="str">
        <f>_xlfn.XLOOKUP($F77,'Physical Condition Assessment'!$U$10:$U$172,'Physical Condition Assessment'!C$10:C$172,"MISSING",0)</f>
        <v>C3010 Wall Finishes</v>
      </c>
      <c r="E77" s="502" t="str">
        <f>_xlfn.XLOOKUP($F77,'Physical Condition Assessment'!$U$10:$U$172,'Physical Condition Assessment'!D$10:D$172,"MISSING",0)</f>
        <v>Ceramic Tile</v>
      </c>
      <c r="F77" s="502" t="s">
        <v>203</v>
      </c>
      <c r="G77" s="502" t="str">
        <f>_xlfn.XLOOKUP($F77,'Physical Condition Assessment'!$U$10:$U$172,'Physical Condition Assessment'!V$10:V$172,"MISSING",0)</f>
        <v>Interior Structure</v>
      </c>
      <c r="H77" s="471">
        <f>_xlfn.XLOOKUP($F77,'Physical Condition Assessment'!$U$10:$U$172,'Physical Condition Assessment'!S$10:S$172,"MISSING",0)</f>
        <v>0</v>
      </c>
      <c r="I77" s="471">
        <f>_xlfn.XLOOKUP($F77,'Physical Condition Assessment'!$U$10:$U$172,'Physical Condition Assessment'!AP$10:AP$172,"MISSING",0)</f>
        <v>0</v>
      </c>
      <c r="J77" s="525" t="e">
        <f t="shared" si="10"/>
        <v>#DIV/0!</v>
      </c>
      <c r="K77" s="471">
        <f ca="1">_xlfn.XLOOKUP($F77,'Physical Condition Assessment'!$U$10:$U$172,'Physical Condition Assessment'!AV$10:AV$172,"MISSING",0)</f>
        <v>0</v>
      </c>
      <c r="L77" s="471">
        <f ca="1">_xlfn.XLOOKUP($F77,'Physical Condition Assessment'!$U$10:$U$172,'Physical Condition Assessment'!AW$10:AW$172,"MISSING",0)</f>
        <v>0</v>
      </c>
      <c r="M77" s="471">
        <f ca="1">_xlfn.XLOOKUP($F77,'Physical Condition Assessment'!$U$10:$U$172,'Physical Condition Assessment'!AX$10:AX$172,"MISSING",0)</f>
        <v>0</v>
      </c>
      <c r="N77" s="471">
        <f ca="1">_xlfn.XLOOKUP($F77,'Physical Condition Assessment'!$U$10:$U$172,'Physical Condition Assessment'!AY$10:AY$172,"MISSING",0)</f>
        <v>0</v>
      </c>
    </row>
    <row r="78" spans="1:14" x14ac:dyDescent="0.2">
      <c r="A78" s="502">
        <f>'Base Information Sheet'!$B$5</f>
        <v>0</v>
      </c>
      <c r="B78" s="502" t="str">
        <f>_xlfn.XLOOKUP($F78,'Physical Condition Assessment'!$U$10:$U$172,'Physical Condition Assessment'!A$10:A$172,"MISSING",0)</f>
        <v>C    INTERIORS</v>
      </c>
      <c r="C78" s="502" t="str">
        <f>_xlfn.XLOOKUP($F78,'Physical Condition Assessment'!$U$10:$U$172,'Physical Condition Assessment'!B$10:B$172,"MISSING",0)</f>
        <v>C30 Interior Finishes</v>
      </c>
      <c r="D78" s="502" t="str">
        <f>_xlfn.XLOOKUP($F78,'Physical Condition Assessment'!$U$10:$U$172,'Physical Condition Assessment'!C$10:C$172,"MISSING",0)</f>
        <v>C3010 Wall Finishes</v>
      </c>
      <c r="E78" s="502" t="str">
        <f>_xlfn.XLOOKUP($F78,'Physical Condition Assessment'!$U$10:$U$172,'Physical Condition Assessment'!D$10:D$172,"MISSING",0)</f>
        <v>Formica</v>
      </c>
      <c r="F78" s="502" t="s">
        <v>201</v>
      </c>
      <c r="G78" s="502" t="str">
        <f>_xlfn.XLOOKUP($F78,'Physical Condition Assessment'!$U$10:$U$172,'Physical Condition Assessment'!V$10:V$172,"MISSING",0)</f>
        <v>Interior Structure</v>
      </c>
      <c r="H78" s="471">
        <f>_xlfn.XLOOKUP($F78,'Physical Condition Assessment'!$U$10:$U$172,'Physical Condition Assessment'!S$10:S$172,"MISSING",0)</f>
        <v>0</v>
      </c>
      <c r="I78" s="471">
        <f>_xlfn.XLOOKUP($F78,'Physical Condition Assessment'!$U$10:$U$172,'Physical Condition Assessment'!AP$10:AP$172,"MISSING",0)</f>
        <v>0</v>
      </c>
      <c r="J78" s="525" t="e">
        <f t="shared" si="10"/>
        <v>#DIV/0!</v>
      </c>
      <c r="K78" s="471">
        <f ca="1">_xlfn.XLOOKUP($F78,'Physical Condition Assessment'!$U$10:$U$172,'Physical Condition Assessment'!AV$10:AV$172,"MISSING",0)</f>
        <v>0</v>
      </c>
      <c r="L78" s="471">
        <f ca="1">_xlfn.XLOOKUP($F78,'Physical Condition Assessment'!$U$10:$U$172,'Physical Condition Assessment'!AW$10:AW$172,"MISSING",0)</f>
        <v>0</v>
      </c>
      <c r="M78" s="471">
        <f ca="1">_xlfn.XLOOKUP($F78,'Physical Condition Assessment'!$U$10:$U$172,'Physical Condition Assessment'!AX$10:AX$172,"MISSING",0)</f>
        <v>0</v>
      </c>
      <c r="N78" s="471">
        <f ca="1">_xlfn.XLOOKUP($F78,'Physical Condition Assessment'!$U$10:$U$172,'Physical Condition Assessment'!AY$10:AY$172,"MISSING",0)</f>
        <v>0</v>
      </c>
    </row>
    <row r="79" spans="1:14" x14ac:dyDescent="0.2">
      <c r="A79" s="502">
        <f>'Base Information Sheet'!$B$5</f>
        <v>0</v>
      </c>
      <c r="B79" s="502" t="str">
        <f>_xlfn.XLOOKUP($F79,'Physical Condition Assessment'!$U$10:$U$172,'Physical Condition Assessment'!A$10:A$172,"MISSING",0)</f>
        <v>C    INTERIORS</v>
      </c>
      <c r="C79" s="502" t="str">
        <f>_xlfn.XLOOKUP($F79,'Physical Condition Assessment'!$U$10:$U$172,'Physical Condition Assessment'!B$10:B$172,"MISSING",0)</f>
        <v>C30 Interior Finishes</v>
      </c>
      <c r="D79" s="502" t="str">
        <f>_xlfn.XLOOKUP($F79,'Physical Condition Assessment'!$U$10:$U$172,'Physical Condition Assessment'!C$10:C$172,"MISSING",0)</f>
        <v>C3010 Wall Finishes</v>
      </c>
      <c r="E79" s="502" t="str">
        <f>_xlfn.XLOOKUP($F79,'Physical Condition Assessment'!$U$10:$U$172,'Physical Condition Assessment'!D$10:D$172,"MISSING",0)</f>
        <v>Paint on Masonry</v>
      </c>
      <c r="F79" s="502" t="s">
        <v>191</v>
      </c>
      <c r="G79" s="502" t="str">
        <f>_xlfn.XLOOKUP($F79,'Physical Condition Assessment'!$U$10:$U$172,'Physical Condition Assessment'!V$10:V$172,"MISSING",0)</f>
        <v>Interior Structure</v>
      </c>
      <c r="H79" s="471">
        <f>_xlfn.XLOOKUP($F79,'Physical Condition Assessment'!$U$10:$U$172,'Physical Condition Assessment'!S$10:S$172,"MISSING",0)</f>
        <v>0</v>
      </c>
      <c r="I79" s="471">
        <f>_xlfn.XLOOKUP($F79,'Physical Condition Assessment'!$U$10:$U$172,'Physical Condition Assessment'!AP$10:AP$172,"MISSING",0)</f>
        <v>0</v>
      </c>
      <c r="J79" s="525" t="e">
        <f t="shared" si="10"/>
        <v>#DIV/0!</v>
      </c>
      <c r="K79" s="471">
        <f ca="1">_xlfn.XLOOKUP($F79,'Physical Condition Assessment'!$U$10:$U$172,'Physical Condition Assessment'!AV$10:AV$172,"MISSING",0)</f>
        <v>0</v>
      </c>
      <c r="L79" s="471">
        <f ca="1">_xlfn.XLOOKUP($F79,'Physical Condition Assessment'!$U$10:$U$172,'Physical Condition Assessment'!AW$10:AW$172,"MISSING",0)</f>
        <v>0</v>
      </c>
      <c r="M79" s="471">
        <f ca="1">_xlfn.XLOOKUP($F79,'Physical Condition Assessment'!$U$10:$U$172,'Physical Condition Assessment'!AX$10:AX$172,"MISSING",0)</f>
        <v>0</v>
      </c>
      <c r="N79" s="471">
        <f ca="1">_xlfn.XLOOKUP($F79,'Physical Condition Assessment'!$U$10:$U$172,'Physical Condition Assessment'!AY$10:AY$172,"MISSING",0)</f>
        <v>0</v>
      </c>
    </row>
    <row r="80" spans="1:14" x14ac:dyDescent="0.2">
      <c r="A80" s="502">
        <f>'Base Information Sheet'!$B$5</f>
        <v>0</v>
      </c>
      <c r="B80" s="502" t="str">
        <f>_xlfn.XLOOKUP($F80,'Physical Condition Assessment'!$U$10:$U$172,'Physical Condition Assessment'!A$10:A$172,"MISSING",0)</f>
        <v>C    INTERIORS</v>
      </c>
      <c r="C80" s="502" t="str">
        <f>_xlfn.XLOOKUP($F80,'Physical Condition Assessment'!$U$10:$U$172,'Physical Condition Assessment'!B$10:B$172,"MISSING",0)</f>
        <v>C30 Interior Finishes</v>
      </c>
      <c r="D80" s="502" t="str">
        <f>_xlfn.XLOOKUP($F80,'Physical Condition Assessment'!$U$10:$U$172,'Physical Condition Assessment'!C$10:C$172,"MISSING",0)</f>
        <v>C3010 Wall Finishes</v>
      </c>
      <c r="E80" s="502" t="str">
        <f>_xlfn.XLOOKUP($F80,'Physical Condition Assessment'!$U$10:$U$172,'Physical Condition Assessment'!D$10:D$172,"MISSING",0)</f>
        <v>Vinyl Paneling</v>
      </c>
      <c r="F80" s="502" t="s">
        <v>199</v>
      </c>
      <c r="G80" s="502" t="str">
        <f>_xlfn.XLOOKUP($F80,'Physical Condition Assessment'!$U$10:$U$172,'Physical Condition Assessment'!V$10:V$172,"MISSING",0)</f>
        <v>Interior Structure</v>
      </c>
      <c r="H80" s="471">
        <f>_xlfn.XLOOKUP($F80,'Physical Condition Assessment'!$U$10:$U$172,'Physical Condition Assessment'!S$10:S$172,"MISSING",0)</f>
        <v>0</v>
      </c>
      <c r="I80" s="471">
        <f>_xlfn.XLOOKUP($F80,'Physical Condition Assessment'!$U$10:$U$172,'Physical Condition Assessment'!AP$10:AP$172,"MISSING",0)</f>
        <v>0</v>
      </c>
      <c r="J80" s="525" t="e">
        <f t="shared" si="10"/>
        <v>#DIV/0!</v>
      </c>
      <c r="K80" s="471">
        <f ca="1">_xlfn.XLOOKUP($F80,'Physical Condition Assessment'!$U$10:$U$172,'Physical Condition Assessment'!AV$10:AV$172,"MISSING",0)</f>
        <v>0</v>
      </c>
      <c r="L80" s="471">
        <f ca="1">_xlfn.XLOOKUP($F80,'Physical Condition Assessment'!$U$10:$U$172,'Physical Condition Assessment'!AW$10:AW$172,"MISSING",0)</f>
        <v>0</v>
      </c>
      <c r="M80" s="471">
        <f ca="1">_xlfn.XLOOKUP($F80,'Physical Condition Assessment'!$U$10:$U$172,'Physical Condition Assessment'!AX$10:AX$172,"MISSING",0)</f>
        <v>0</v>
      </c>
      <c r="N80" s="471">
        <f ca="1">_xlfn.XLOOKUP($F80,'Physical Condition Assessment'!$U$10:$U$172,'Physical Condition Assessment'!AY$10:AY$172,"MISSING",0)</f>
        <v>0</v>
      </c>
    </row>
    <row r="81" spans="1:14" x14ac:dyDescent="0.2">
      <c r="A81" s="502">
        <f>'Base Information Sheet'!$B$5</f>
        <v>0</v>
      </c>
      <c r="B81" s="502" t="str">
        <f>_xlfn.XLOOKUP($F81,'Physical Condition Assessment'!$U$10:$U$172,'Physical Condition Assessment'!A$10:A$172,"MISSING",0)</f>
        <v>C    INTERIORS</v>
      </c>
      <c r="C81" s="502" t="str">
        <f>_xlfn.XLOOKUP($F81,'Physical Condition Assessment'!$U$10:$U$172,'Physical Condition Assessment'!B$10:B$172,"MISSING",0)</f>
        <v>C30 Interior Finishes</v>
      </c>
      <c r="D81" s="502" t="str">
        <f>_xlfn.XLOOKUP($F81,'Physical Condition Assessment'!$U$10:$U$172,'Physical Condition Assessment'!C$10:C$172,"MISSING",0)</f>
        <v>C3010 Wall Finishes</v>
      </c>
      <c r="E81" s="502" t="str">
        <f>_xlfn.XLOOKUP($F81,'Physical Condition Assessment'!$U$10:$U$172,'Physical Condition Assessment'!D$10:D$172,"MISSING",0)</f>
        <v>Wainscot</v>
      </c>
      <c r="F81" s="502" t="s">
        <v>195</v>
      </c>
      <c r="G81" s="502" t="str">
        <f>_xlfn.XLOOKUP($F81,'Physical Condition Assessment'!$U$10:$U$172,'Physical Condition Assessment'!V$10:V$172,"MISSING",0)</f>
        <v>Interior Structure</v>
      </c>
      <c r="H81" s="471">
        <f>_xlfn.XLOOKUP($F81,'Physical Condition Assessment'!$U$10:$U$172,'Physical Condition Assessment'!S$10:S$172,"MISSING",0)</f>
        <v>0</v>
      </c>
      <c r="I81" s="471">
        <f>_xlfn.XLOOKUP($F81,'Physical Condition Assessment'!$U$10:$U$172,'Physical Condition Assessment'!AP$10:AP$172,"MISSING",0)</f>
        <v>0</v>
      </c>
      <c r="J81" s="525" t="e">
        <f t="shared" si="10"/>
        <v>#DIV/0!</v>
      </c>
      <c r="K81" s="471">
        <f ca="1">_xlfn.XLOOKUP($F81,'Physical Condition Assessment'!$U$10:$U$172,'Physical Condition Assessment'!AV$10:AV$172,"MISSING",0)</f>
        <v>0</v>
      </c>
      <c r="L81" s="471">
        <f ca="1">_xlfn.XLOOKUP($F81,'Physical Condition Assessment'!$U$10:$U$172,'Physical Condition Assessment'!AW$10:AW$172,"MISSING",0)</f>
        <v>0</v>
      </c>
      <c r="M81" s="471">
        <f ca="1">_xlfn.XLOOKUP($F81,'Physical Condition Assessment'!$U$10:$U$172,'Physical Condition Assessment'!AX$10:AX$172,"MISSING",0)</f>
        <v>0</v>
      </c>
      <c r="N81" s="471">
        <f ca="1">_xlfn.XLOOKUP($F81,'Physical Condition Assessment'!$U$10:$U$172,'Physical Condition Assessment'!AY$10:AY$172,"MISSING",0)</f>
        <v>0</v>
      </c>
    </row>
    <row r="82" spans="1:14" x14ac:dyDescent="0.2">
      <c r="A82" s="502">
        <f>'Base Information Sheet'!$B$5</f>
        <v>0</v>
      </c>
      <c r="B82" s="502" t="str">
        <f>_xlfn.XLOOKUP($F82,'Physical Condition Assessment'!$U$10:$U$172,'Physical Condition Assessment'!A$10:A$172,"MISSING",0)</f>
        <v>C    INTERIORS</v>
      </c>
      <c r="C82" s="502" t="str">
        <f>_xlfn.XLOOKUP($F82,'Physical Condition Assessment'!$U$10:$U$172,'Physical Condition Assessment'!B$10:B$172,"MISSING",0)</f>
        <v>C30 Interior Finishes</v>
      </c>
      <c r="D82" s="502" t="str">
        <f>_xlfn.XLOOKUP($F82,'Physical Condition Assessment'!$U$10:$U$172,'Physical Condition Assessment'!C$10:C$172,"MISSING",0)</f>
        <v>C3010 Wall Finishes</v>
      </c>
      <c r="E82" s="502" t="str">
        <f>_xlfn.XLOOKUP($F82,'Physical Condition Assessment'!$U$10:$U$172,'Physical Condition Assessment'!D$10:D$172,"MISSING",0)</f>
        <v>Wallboard</v>
      </c>
      <c r="F82" s="502" t="s">
        <v>193</v>
      </c>
      <c r="G82" s="502" t="str">
        <f>_xlfn.XLOOKUP($F82,'Physical Condition Assessment'!$U$10:$U$172,'Physical Condition Assessment'!V$10:V$172,"MISSING",0)</f>
        <v>Interior Structure</v>
      </c>
      <c r="H82" s="471">
        <f>_xlfn.XLOOKUP($F82,'Physical Condition Assessment'!$U$10:$U$172,'Physical Condition Assessment'!S$10:S$172,"MISSING",0)</f>
        <v>0</v>
      </c>
      <c r="I82" s="471">
        <f>_xlfn.XLOOKUP($F82,'Physical Condition Assessment'!$U$10:$U$172,'Physical Condition Assessment'!AP$10:AP$172,"MISSING",0)</f>
        <v>0</v>
      </c>
      <c r="J82" s="525" t="e">
        <f t="shared" si="10"/>
        <v>#DIV/0!</v>
      </c>
      <c r="K82" s="471">
        <f ca="1">_xlfn.XLOOKUP($F82,'Physical Condition Assessment'!$U$10:$U$172,'Physical Condition Assessment'!AV$10:AV$172,"MISSING",0)</f>
        <v>0</v>
      </c>
      <c r="L82" s="471">
        <f ca="1">_xlfn.XLOOKUP($F82,'Physical Condition Assessment'!$U$10:$U$172,'Physical Condition Assessment'!AW$10:AW$172,"MISSING",0)</f>
        <v>0</v>
      </c>
      <c r="M82" s="471">
        <f ca="1">_xlfn.XLOOKUP($F82,'Physical Condition Assessment'!$U$10:$U$172,'Physical Condition Assessment'!AX$10:AX$172,"MISSING",0)</f>
        <v>0</v>
      </c>
      <c r="N82" s="471">
        <f ca="1">_xlfn.XLOOKUP($F82,'Physical Condition Assessment'!$U$10:$U$172,'Physical Condition Assessment'!AY$10:AY$172,"MISSING",0)</f>
        <v>0</v>
      </c>
    </row>
    <row r="83" spans="1:14" x14ac:dyDescent="0.2">
      <c r="A83" s="502">
        <f>'Base Information Sheet'!$B$5</f>
        <v>0</v>
      </c>
      <c r="B83" s="502" t="str">
        <f>_xlfn.XLOOKUP($F83,'Physical Condition Assessment'!$U$10:$U$172,'Physical Condition Assessment'!A$10:A$172,"MISSING",0)</f>
        <v>C    INTERIORS</v>
      </c>
      <c r="C83" s="502" t="str">
        <f>_xlfn.XLOOKUP($F83,'Physical Condition Assessment'!$U$10:$U$172,'Physical Condition Assessment'!B$10:B$172,"MISSING",0)</f>
        <v>C30 Interior Finishes</v>
      </c>
      <c r="D83" s="502" t="str">
        <f>_xlfn.XLOOKUP($F83,'Physical Condition Assessment'!$U$10:$U$172,'Physical Condition Assessment'!C$10:C$172,"MISSING",0)</f>
        <v>C3010 Wall Finishes</v>
      </c>
      <c r="E83" s="502" t="str">
        <f>_xlfn.XLOOKUP($F83,'Physical Condition Assessment'!$U$10:$U$172,'Physical Condition Assessment'!D$10:D$172,"MISSING",0)</f>
        <v>Wood Paneling</v>
      </c>
      <c r="F83" s="502" t="s">
        <v>197</v>
      </c>
      <c r="G83" s="502" t="str">
        <f>_xlfn.XLOOKUP($F83,'Physical Condition Assessment'!$U$10:$U$172,'Physical Condition Assessment'!V$10:V$172,"MISSING",0)</f>
        <v>Interior Structure</v>
      </c>
      <c r="H83" s="471">
        <f>_xlfn.XLOOKUP($F83,'Physical Condition Assessment'!$U$10:$U$172,'Physical Condition Assessment'!S$10:S$172,"MISSING",0)</f>
        <v>0</v>
      </c>
      <c r="I83" s="471">
        <f>_xlfn.XLOOKUP($F83,'Physical Condition Assessment'!$U$10:$U$172,'Physical Condition Assessment'!AP$10:AP$172,"MISSING",0)</f>
        <v>0</v>
      </c>
      <c r="J83" s="525" t="e">
        <f t="shared" si="10"/>
        <v>#DIV/0!</v>
      </c>
      <c r="K83" s="471">
        <f ca="1">_xlfn.XLOOKUP($F83,'Physical Condition Assessment'!$U$10:$U$172,'Physical Condition Assessment'!AV$10:AV$172,"MISSING",0)</f>
        <v>0</v>
      </c>
      <c r="L83" s="471">
        <f ca="1">_xlfn.XLOOKUP($F83,'Physical Condition Assessment'!$U$10:$U$172,'Physical Condition Assessment'!AW$10:AW$172,"MISSING",0)</f>
        <v>0</v>
      </c>
      <c r="M83" s="471">
        <f ca="1">_xlfn.XLOOKUP($F83,'Physical Condition Assessment'!$U$10:$U$172,'Physical Condition Assessment'!AX$10:AX$172,"MISSING",0)</f>
        <v>0</v>
      </c>
      <c r="N83" s="471">
        <f ca="1">_xlfn.XLOOKUP($F83,'Physical Condition Assessment'!$U$10:$U$172,'Physical Condition Assessment'!AY$10:AY$172,"MISSING",0)</f>
        <v>0</v>
      </c>
    </row>
    <row r="84" spans="1:14" x14ac:dyDescent="0.2">
      <c r="A84" s="502">
        <f>'Base Information Sheet'!$B$5</f>
        <v>0</v>
      </c>
      <c r="B84" s="502" t="str">
        <f>_xlfn.XLOOKUP($F84,'Physical Condition Assessment'!$U$10:$U$172,'Physical Condition Assessment'!A$10:A$172,"MISSING",0)</f>
        <v>C    INTERIORS</v>
      </c>
      <c r="C84" s="502" t="str">
        <f>_xlfn.XLOOKUP($F84,'Physical Condition Assessment'!$U$10:$U$172,'Physical Condition Assessment'!B$10:B$172,"MISSING",0)</f>
        <v>C30 Interior Finishes</v>
      </c>
      <c r="D84" s="502" t="str">
        <f>_xlfn.XLOOKUP($F84,'Physical Condition Assessment'!$U$10:$U$172,'Physical Condition Assessment'!C$10:C$172,"MISSING",0)</f>
        <v>C3030 Ceiling Finishes</v>
      </c>
      <c r="E84" s="502" t="str">
        <f>_xlfn.XLOOKUP($F84,'Physical Condition Assessment'!$U$10:$U$172,'Physical Condition Assessment'!D$10:D$172,"MISSING",0)</f>
        <v>Glued-Up Ceiling Tile</v>
      </c>
      <c r="F84" s="502" t="s">
        <v>224</v>
      </c>
      <c r="G84" s="502" t="str">
        <f>_xlfn.XLOOKUP($F84,'Physical Condition Assessment'!$U$10:$U$172,'Physical Condition Assessment'!V$10:V$172,"MISSING",0)</f>
        <v>Interior Structure</v>
      </c>
      <c r="H84" s="471">
        <f>_xlfn.XLOOKUP($F84,'Physical Condition Assessment'!$U$10:$U$172,'Physical Condition Assessment'!S$10:S$172,"MISSING",0)</f>
        <v>0</v>
      </c>
      <c r="I84" s="471">
        <f>_xlfn.XLOOKUP($F84,'Physical Condition Assessment'!$U$10:$U$172,'Physical Condition Assessment'!AP$10:AP$172,"MISSING",0)</f>
        <v>0</v>
      </c>
      <c r="J84" s="525" t="e">
        <f t="shared" si="10"/>
        <v>#DIV/0!</v>
      </c>
      <c r="K84" s="471">
        <f ca="1">_xlfn.XLOOKUP($F84,'Physical Condition Assessment'!$U$10:$U$172,'Physical Condition Assessment'!AV$10:AV$172,"MISSING",0)</f>
        <v>0</v>
      </c>
      <c r="L84" s="471">
        <f ca="1">_xlfn.XLOOKUP($F84,'Physical Condition Assessment'!$U$10:$U$172,'Physical Condition Assessment'!AW$10:AW$172,"MISSING",0)</f>
        <v>0</v>
      </c>
      <c r="M84" s="471">
        <f ca="1">_xlfn.XLOOKUP($F84,'Physical Condition Assessment'!$U$10:$U$172,'Physical Condition Assessment'!AX$10:AX$172,"MISSING",0)</f>
        <v>0</v>
      </c>
      <c r="N84" s="471">
        <f ca="1">_xlfn.XLOOKUP($F84,'Physical Condition Assessment'!$U$10:$U$172,'Physical Condition Assessment'!AY$10:AY$172,"MISSING",0)</f>
        <v>0</v>
      </c>
    </row>
    <row r="85" spans="1:14" x14ac:dyDescent="0.2">
      <c r="A85" s="502">
        <f>'Base Information Sheet'!$B$5</f>
        <v>0</v>
      </c>
      <c r="B85" s="502" t="str">
        <f>_xlfn.XLOOKUP($F85,'Physical Condition Assessment'!$U$10:$U$172,'Physical Condition Assessment'!A$10:A$172,"MISSING",0)</f>
        <v>C    INTERIORS</v>
      </c>
      <c r="C85" s="502" t="str">
        <f>_xlfn.XLOOKUP($F85,'Physical Condition Assessment'!$U$10:$U$172,'Physical Condition Assessment'!B$10:B$172,"MISSING",0)</f>
        <v>C30 Interior Finishes</v>
      </c>
      <c r="D85" s="502" t="str">
        <f>_xlfn.XLOOKUP($F85,'Physical Condition Assessment'!$U$10:$U$172,'Physical Condition Assessment'!C$10:C$172,"MISSING",0)</f>
        <v>C3030 Ceiling Finishes</v>
      </c>
      <c r="E85" s="502" t="str">
        <f>_xlfn.XLOOKUP($F85,'Physical Condition Assessment'!$U$10:$U$172,'Physical Condition Assessment'!D$10:D$172,"MISSING",0)</f>
        <v>Lay-In Ceiling Tile</v>
      </c>
      <c r="F85" s="502" t="s">
        <v>222</v>
      </c>
      <c r="G85" s="502" t="str">
        <f>_xlfn.XLOOKUP($F85,'Physical Condition Assessment'!$U$10:$U$172,'Physical Condition Assessment'!V$10:V$172,"MISSING",0)</f>
        <v>Interior Structure</v>
      </c>
      <c r="H85" s="471">
        <f>_xlfn.XLOOKUP($F85,'Physical Condition Assessment'!$U$10:$U$172,'Physical Condition Assessment'!S$10:S$172,"MISSING",0)</f>
        <v>0</v>
      </c>
      <c r="I85" s="471">
        <f>_xlfn.XLOOKUP($F85,'Physical Condition Assessment'!$U$10:$U$172,'Physical Condition Assessment'!AP$10:AP$172,"MISSING",0)</f>
        <v>0</v>
      </c>
      <c r="J85" s="525" t="e">
        <f t="shared" si="10"/>
        <v>#DIV/0!</v>
      </c>
      <c r="K85" s="471">
        <f ca="1">_xlfn.XLOOKUP($F85,'Physical Condition Assessment'!$U$10:$U$172,'Physical Condition Assessment'!AV$10:AV$172,"MISSING",0)</f>
        <v>0</v>
      </c>
      <c r="L85" s="471">
        <f ca="1">_xlfn.XLOOKUP($F85,'Physical Condition Assessment'!$U$10:$U$172,'Physical Condition Assessment'!AW$10:AW$172,"MISSING",0)</f>
        <v>0</v>
      </c>
      <c r="M85" s="471">
        <f ca="1">_xlfn.XLOOKUP($F85,'Physical Condition Assessment'!$U$10:$U$172,'Physical Condition Assessment'!AX$10:AX$172,"MISSING",0)</f>
        <v>0</v>
      </c>
      <c r="N85" s="471">
        <f ca="1">_xlfn.XLOOKUP($F85,'Physical Condition Assessment'!$U$10:$U$172,'Physical Condition Assessment'!AY$10:AY$172,"MISSING",0)</f>
        <v>0</v>
      </c>
    </row>
    <row r="86" spans="1:14" x14ac:dyDescent="0.2">
      <c r="A86" s="502">
        <f>'Base Information Sheet'!$B$5</f>
        <v>0</v>
      </c>
      <c r="B86" s="502" t="str">
        <f>_xlfn.XLOOKUP($F86,'Physical Condition Assessment'!$U$10:$U$172,'Physical Condition Assessment'!A$10:A$172,"MISSING",0)</f>
        <v>C    INTERIORS</v>
      </c>
      <c r="C86" s="502" t="str">
        <f>_xlfn.XLOOKUP($F86,'Physical Condition Assessment'!$U$10:$U$172,'Physical Condition Assessment'!B$10:B$172,"MISSING",0)</f>
        <v>C30 Interior Finishes</v>
      </c>
      <c r="D86" s="502" t="str">
        <f>_xlfn.XLOOKUP($F86,'Physical Condition Assessment'!$U$10:$U$172,'Physical Condition Assessment'!C$10:C$172,"MISSING",0)</f>
        <v>C3030 Ceiling Finishes</v>
      </c>
      <c r="E86" s="502" t="str">
        <f>_xlfn.XLOOKUP($F86,'Physical Condition Assessment'!$U$10:$U$172,'Physical Condition Assessment'!D$10:D$172,"MISSING",0)</f>
        <v>Painted Structure</v>
      </c>
      <c r="F86" s="502" t="s">
        <v>228</v>
      </c>
      <c r="G86" s="502" t="str">
        <f>_xlfn.XLOOKUP($F86,'Physical Condition Assessment'!$U$10:$U$172,'Physical Condition Assessment'!V$10:V$172,"MISSING",0)</f>
        <v>Interior Structure</v>
      </c>
      <c r="H86" s="471">
        <f>_xlfn.XLOOKUP($F86,'Physical Condition Assessment'!$U$10:$U$172,'Physical Condition Assessment'!S$10:S$172,"MISSING",0)</f>
        <v>0</v>
      </c>
      <c r="I86" s="471">
        <f>_xlfn.XLOOKUP($F86,'Physical Condition Assessment'!$U$10:$U$172,'Physical Condition Assessment'!AP$10:AP$172,"MISSING",0)</f>
        <v>0</v>
      </c>
      <c r="J86" s="525" t="e">
        <f t="shared" si="10"/>
        <v>#DIV/0!</v>
      </c>
      <c r="K86" s="471">
        <f ca="1">_xlfn.XLOOKUP($F86,'Physical Condition Assessment'!$U$10:$U$172,'Physical Condition Assessment'!AV$10:AV$172,"MISSING",0)</f>
        <v>0</v>
      </c>
      <c r="L86" s="471">
        <f ca="1">_xlfn.XLOOKUP($F86,'Physical Condition Assessment'!$U$10:$U$172,'Physical Condition Assessment'!AW$10:AW$172,"MISSING",0)</f>
        <v>0</v>
      </c>
      <c r="M86" s="471">
        <f ca="1">_xlfn.XLOOKUP($F86,'Physical Condition Assessment'!$U$10:$U$172,'Physical Condition Assessment'!AX$10:AX$172,"MISSING",0)</f>
        <v>0</v>
      </c>
      <c r="N86" s="471">
        <f ca="1">_xlfn.XLOOKUP($F86,'Physical Condition Assessment'!$U$10:$U$172,'Physical Condition Assessment'!AY$10:AY$172,"MISSING",0)</f>
        <v>0</v>
      </c>
    </row>
    <row r="87" spans="1:14" x14ac:dyDescent="0.2">
      <c r="A87" s="502">
        <f>'Base Information Sheet'!$B$5</f>
        <v>0</v>
      </c>
      <c r="B87" s="502" t="str">
        <f>_xlfn.XLOOKUP($F87,'Physical Condition Assessment'!$U$10:$U$172,'Physical Condition Assessment'!A$10:A$172,"MISSING",0)</f>
        <v>C    INTERIORS</v>
      </c>
      <c r="C87" s="502" t="str">
        <f>_xlfn.XLOOKUP($F87,'Physical Condition Assessment'!$U$10:$U$172,'Physical Condition Assessment'!B$10:B$172,"MISSING",0)</f>
        <v>C30 Interior Finishes</v>
      </c>
      <c r="D87" s="502" t="str">
        <f>_xlfn.XLOOKUP($F87,'Physical Condition Assessment'!$U$10:$U$172,'Physical Condition Assessment'!C$10:C$172,"MISSING",0)</f>
        <v>C3030 Ceiling Finishes</v>
      </c>
      <c r="E87" s="502" t="str">
        <f>_xlfn.XLOOKUP($F87,'Physical Condition Assessment'!$U$10:$U$172,'Physical Condition Assessment'!D$10:D$172,"MISSING",0)</f>
        <v>Tectum</v>
      </c>
      <c r="F87" s="502" t="s">
        <v>226</v>
      </c>
      <c r="G87" s="502" t="str">
        <f>_xlfn.XLOOKUP($F87,'Physical Condition Assessment'!$U$10:$U$172,'Physical Condition Assessment'!V$10:V$172,"MISSING",0)</f>
        <v>Interior Structure</v>
      </c>
      <c r="H87" s="471">
        <f>_xlfn.XLOOKUP($F87,'Physical Condition Assessment'!$U$10:$U$172,'Physical Condition Assessment'!S$10:S$172,"MISSING",0)</f>
        <v>0</v>
      </c>
      <c r="I87" s="471">
        <f>_xlfn.XLOOKUP($F87,'Physical Condition Assessment'!$U$10:$U$172,'Physical Condition Assessment'!AP$10:AP$172,"MISSING",0)</f>
        <v>0</v>
      </c>
      <c r="J87" s="525" t="e">
        <f t="shared" si="10"/>
        <v>#DIV/0!</v>
      </c>
      <c r="K87" s="471">
        <f ca="1">_xlfn.XLOOKUP($F87,'Physical Condition Assessment'!$U$10:$U$172,'Physical Condition Assessment'!AV$10:AV$172,"MISSING",0)</f>
        <v>0</v>
      </c>
      <c r="L87" s="471">
        <f ca="1">_xlfn.XLOOKUP($F87,'Physical Condition Assessment'!$U$10:$U$172,'Physical Condition Assessment'!AW$10:AW$172,"MISSING",0)</f>
        <v>0</v>
      </c>
      <c r="M87" s="471">
        <f ca="1">_xlfn.XLOOKUP($F87,'Physical Condition Assessment'!$U$10:$U$172,'Physical Condition Assessment'!AX$10:AX$172,"MISSING",0)</f>
        <v>0</v>
      </c>
      <c r="N87" s="471">
        <f ca="1">_xlfn.XLOOKUP($F87,'Physical Condition Assessment'!$U$10:$U$172,'Physical Condition Assessment'!AY$10:AY$172,"MISSING",0)</f>
        <v>0</v>
      </c>
    </row>
    <row r="88" spans="1:14" x14ac:dyDescent="0.2">
      <c r="A88" s="502">
        <f>'Base Information Sheet'!$B$5</f>
        <v>0</v>
      </c>
      <c r="B88" s="502" t="str">
        <f>_xlfn.XLOOKUP($F88,'Physical Condition Assessment'!$U$10:$U$172,'Physical Condition Assessment'!A$10:A$172,"MISSING",0)</f>
        <v>C    INTERIORS</v>
      </c>
      <c r="C88" s="502" t="str">
        <f>_xlfn.XLOOKUP($F88,'Physical Condition Assessment'!$U$10:$U$172,'Physical Condition Assessment'!B$10:B$172,"MISSING",0)</f>
        <v>C30 Interior Finishes</v>
      </c>
      <c r="D88" s="502" t="str">
        <f>_xlfn.XLOOKUP($F88,'Physical Condition Assessment'!$U$10:$U$172,'Physical Condition Assessment'!C$10:C$172,"MISSING",0)</f>
        <v>C3030 Ceiling Finishes</v>
      </c>
      <c r="E88" s="502" t="str">
        <f>_xlfn.XLOOKUP($F88,'Physical Condition Assessment'!$U$10:$U$172,'Physical Condition Assessment'!D$10:D$172,"MISSING",0)</f>
        <v>Wallboard</v>
      </c>
      <c r="F88" s="502" t="s">
        <v>220</v>
      </c>
      <c r="G88" s="502" t="str">
        <f>_xlfn.XLOOKUP($F88,'Physical Condition Assessment'!$U$10:$U$172,'Physical Condition Assessment'!V$10:V$172,"MISSING",0)</f>
        <v>Interior Structure</v>
      </c>
      <c r="H88" s="471">
        <f>_xlfn.XLOOKUP($F88,'Physical Condition Assessment'!$U$10:$U$172,'Physical Condition Assessment'!S$10:S$172,"MISSING",0)</f>
        <v>0</v>
      </c>
      <c r="I88" s="471">
        <f>_xlfn.XLOOKUP($F88,'Physical Condition Assessment'!$U$10:$U$172,'Physical Condition Assessment'!AP$10:AP$172,"MISSING",0)</f>
        <v>0</v>
      </c>
      <c r="J88" s="525" t="e">
        <f t="shared" si="10"/>
        <v>#DIV/0!</v>
      </c>
      <c r="K88" s="471">
        <f ca="1">_xlfn.XLOOKUP($F88,'Physical Condition Assessment'!$U$10:$U$172,'Physical Condition Assessment'!AV$10:AV$172,"MISSING",0)</f>
        <v>0</v>
      </c>
      <c r="L88" s="471">
        <f ca="1">_xlfn.XLOOKUP($F88,'Physical Condition Assessment'!$U$10:$U$172,'Physical Condition Assessment'!AW$10:AW$172,"MISSING",0)</f>
        <v>0</v>
      </c>
      <c r="M88" s="471">
        <f ca="1">_xlfn.XLOOKUP($F88,'Physical Condition Assessment'!$U$10:$U$172,'Physical Condition Assessment'!AX$10:AX$172,"MISSING",0)</f>
        <v>0</v>
      </c>
      <c r="N88" s="471">
        <f ca="1">_xlfn.XLOOKUP($F88,'Physical Condition Assessment'!$U$10:$U$172,'Physical Condition Assessment'!AY$10:AY$172,"MISSING",0)</f>
        <v>0</v>
      </c>
    </row>
    <row r="89" spans="1:14" x14ac:dyDescent="0.2">
      <c r="A89" s="502">
        <f>'Base Information Sheet'!$B$5</f>
        <v>0</v>
      </c>
      <c r="B89" s="502" t="str">
        <f>_xlfn.XLOOKUP($F89,'Physical Condition Assessment'!$U$10:$U$172,'Physical Condition Assessment'!A$10:A$172,"MISSING",0)</f>
        <v>D    SERVICES</v>
      </c>
      <c r="C89" s="502" t="str">
        <f>_xlfn.XLOOKUP($F89,'Physical Condition Assessment'!$U$10:$U$172,'Physical Condition Assessment'!B$10:B$172,"MISSING",0)</f>
        <v>D10 Conveying</v>
      </c>
      <c r="D89" s="502" t="str">
        <f>_xlfn.XLOOKUP($F89,'Physical Condition Assessment'!$U$10:$U$172,'Physical Condition Assessment'!C$10:C$172,"MISSING",0)</f>
        <v>D1010 Elevators &amp; Lifts</v>
      </c>
      <c r="E89" s="502">
        <f>_xlfn.XLOOKUP($F89,'Physical Condition Assessment'!$U$10:$U$172,'Physical Condition Assessment'!D$10:D$172,"MISSING",0)</f>
        <v>0</v>
      </c>
      <c r="F89" s="502" t="s">
        <v>232</v>
      </c>
      <c r="G89" s="502" t="str">
        <f>_xlfn.XLOOKUP($F89,'Physical Condition Assessment'!$U$10:$U$172,'Physical Condition Assessment'!V$10:V$172,"MISSING",0)</f>
        <v>Interior Structure</v>
      </c>
      <c r="H89" s="471">
        <f>_xlfn.XLOOKUP($F89,'Physical Condition Assessment'!$U$10:$U$172,'Physical Condition Assessment'!S$10:S$172,"MISSING",0)</f>
        <v>0</v>
      </c>
      <c r="I89" s="471">
        <f>_xlfn.XLOOKUP($F89,'Physical Condition Assessment'!$U$10:$U$172,'Physical Condition Assessment'!AP$10:AP$172,"MISSING",0)</f>
        <v>0</v>
      </c>
      <c r="J89" s="525" t="e">
        <f t="shared" si="10"/>
        <v>#DIV/0!</v>
      </c>
      <c r="K89" s="471">
        <f ca="1">_xlfn.XLOOKUP($F89,'Physical Condition Assessment'!$U$10:$U$172,'Physical Condition Assessment'!AV$10:AV$172,"MISSING",0)</f>
        <v>0</v>
      </c>
      <c r="L89" s="471">
        <f ca="1">_xlfn.XLOOKUP($F89,'Physical Condition Assessment'!$U$10:$U$172,'Physical Condition Assessment'!AW$10:AW$172,"MISSING",0)</f>
        <v>0</v>
      </c>
      <c r="M89" s="471">
        <f ca="1">_xlfn.XLOOKUP($F89,'Physical Condition Assessment'!$U$10:$U$172,'Physical Condition Assessment'!AX$10:AX$172,"MISSING",0)</f>
        <v>0</v>
      </c>
      <c r="N89" s="471">
        <f ca="1">_xlfn.XLOOKUP($F89,'Physical Condition Assessment'!$U$10:$U$172,'Physical Condition Assessment'!AY$10:AY$172,"MISSING",0)</f>
        <v>0</v>
      </c>
    </row>
    <row r="90" spans="1:14" x14ac:dyDescent="0.2">
      <c r="A90" s="502">
        <f>'Base Information Sheet'!$B$5</f>
        <v>0</v>
      </c>
      <c r="B90" s="502" t="str">
        <f>_xlfn.XLOOKUP($F90,'Physical Condition Assessment'!$U$10:$U$172,'Physical Condition Assessment'!A$10:A$172,"MISSING",0)</f>
        <v>D    SERVICES</v>
      </c>
      <c r="C90" s="502" t="str">
        <f>_xlfn.XLOOKUP($F90,'Physical Condition Assessment'!$U$10:$U$172,'Physical Condition Assessment'!B$10:B$172,"MISSING",0)</f>
        <v>D10 Conveying</v>
      </c>
      <c r="D90" s="502" t="str">
        <f>_xlfn.XLOOKUP($F90,'Physical Condition Assessment'!$U$10:$U$172,'Physical Condition Assessment'!C$10:C$172,"MISSING",0)</f>
        <v>D1020 Escalators &amp; Moving Walks</v>
      </c>
      <c r="E90" s="502">
        <f>_xlfn.XLOOKUP($F90,'Physical Condition Assessment'!$U$10:$U$172,'Physical Condition Assessment'!D$10:D$172,"MISSING",0)</f>
        <v>0</v>
      </c>
      <c r="F90" s="502" t="s">
        <v>234</v>
      </c>
      <c r="G90" s="502" t="str">
        <f>_xlfn.XLOOKUP($F90,'Physical Condition Assessment'!$U$10:$U$172,'Physical Condition Assessment'!V$10:V$172,"MISSING",0)</f>
        <v>Interior Structure</v>
      </c>
      <c r="H90" s="471">
        <f>_xlfn.XLOOKUP($F90,'Physical Condition Assessment'!$U$10:$U$172,'Physical Condition Assessment'!S$10:S$172,"MISSING",0)</f>
        <v>0</v>
      </c>
      <c r="I90" s="471">
        <f>_xlfn.XLOOKUP($F90,'Physical Condition Assessment'!$U$10:$U$172,'Physical Condition Assessment'!AP$10:AP$172,"MISSING",0)</f>
        <v>0</v>
      </c>
      <c r="J90" s="525" t="e">
        <f t="shared" si="10"/>
        <v>#DIV/0!</v>
      </c>
      <c r="K90" s="471">
        <f ca="1">_xlfn.XLOOKUP($F90,'Physical Condition Assessment'!$U$10:$U$172,'Physical Condition Assessment'!AV$10:AV$172,"MISSING",0)</f>
        <v>0</v>
      </c>
      <c r="L90" s="471">
        <f ca="1">_xlfn.XLOOKUP($F90,'Physical Condition Assessment'!$U$10:$U$172,'Physical Condition Assessment'!AW$10:AW$172,"MISSING",0)</f>
        <v>0</v>
      </c>
      <c r="M90" s="471">
        <f ca="1">_xlfn.XLOOKUP($F90,'Physical Condition Assessment'!$U$10:$U$172,'Physical Condition Assessment'!AX$10:AX$172,"MISSING",0)</f>
        <v>0</v>
      </c>
      <c r="N90" s="471">
        <f ca="1">_xlfn.XLOOKUP($F90,'Physical Condition Assessment'!$U$10:$U$172,'Physical Condition Assessment'!AY$10:AY$172,"MISSING",0)</f>
        <v>0</v>
      </c>
    </row>
    <row r="91" spans="1:14" x14ac:dyDescent="0.2">
      <c r="A91" s="502">
        <f>'Base Information Sheet'!$B$5</f>
        <v>0</v>
      </c>
      <c r="B91" s="502" t="str">
        <f>_xlfn.XLOOKUP($F91,'Physical Condition Assessment'!$U$10:$U$172,'Physical Condition Assessment'!A$10:A$172,"MISSING",0)</f>
        <v>D    SERVICES</v>
      </c>
      <c r="C91" s="502" t="str">
        <f>_xlfn.XLOOKUP($F91,'Physical Condition Assessment'!$U$10:$U$172,'Physical Condition Assessment'!B$10:B$172,"MISSING",0)</f>
        <v>D10 Conveying</v>
      </c>
      <c r="D91" s="502" t="str">
        <f>_xlfn.XLOOKUP($F91,'Physical Condition Assessment'!$U$10:$U$172,'Physical Condition Assessment'!C$10:C$172,"MISSING",0)</f>
        <v>D1090 Other Conveying Systems</v>
      </c>
      <c r="E91" s="502">
        <f>_xlfn.XLOOKUP($F91,'Physical Condition Assessment'!$U$10:$U$172,'Physical Condition Assessment'!D$10:D$172,"MISSING",0)</f>
        <v>0</v>
      </c>
      <c r="F91" s="502" t="s">
        <v>236</v>
      </c>
      <c r="G91" s="502" t="str">
        <f>_xlfn.XLOOKUP($F91,'Physical Condition Assessment'!$U$10:$U$172,'Physical Condition Assessment'!V$10:V$172,"MISSING",0)</f>
        <v>Interior Structure</v>
      </c>
      <c r="H91" s="471">
        <f>_xlfn.XLOOKUP($F91,'Physical Condition Assessment'!$U$10:$U$172,'Physical Condition Assessment'!S$10:S$172,"MISSING",0)</f>
        <v>0</v>
      </c>
      <c r="I91" s="471">
        <f>_xlfn.XLOOKUP($F91,'Physical Condition Assessment'!$U$10:$U$172,'Physical Condition Assessment'!AP$10:AP$172,"MISSING",0)</f>
        <v>0</v>
      </c>
      <c r="J91" s="525" t="e">
        <f t="shared" si="10"/>
        <v>#DIV/0!</v>
      </c>
      <c r="K91" s="471">
        <f ca="1">_xlfn.XLOOKUP($F91,'Physical Condition Assessment'!$U$10:$U$172,'Physical Condition Assessment'!AV$10:AV$172,"MISSING",0)</f>
        <v>0</v>
      </c>
      <c r="L91" s="471">
        <f ca="1">_xlfn.XLOOKUP($F91,'Physical Condition Assessment'!$U$10:$U$172,'Physical Condition Assessment'!AW$10:AW$172,"MISSING",0)</f>
        <v>0</v>
      </c>
      <c r="M91" s="471">
        <f ca="1">_xlfn.XLOOKUP($F91,'Physical Condition Assessment'!$U$10:$U$172,'Physical Condition Assessment'!AX$10:AX$172,"MISSING",0)</f>
        <v>0</v>
      </c>
      <c r="N91" s="471">
        <f ca="1">_xlfn.XLOOKUP($F91,'Physical Condition Assessment'!$U$10:$U$172,'Physical Condition Assessment'!AY$10:AY$172,"MISSING",0)</f>
        <v>0</v>
      </c>
    </row>
    <row r="92" spans="1:14" x14ac:dyDescent="0.2">
      <c r="A92" s="502">
        <f>'Base Information Sheet'!$B$5</f>
        <v>0</v>
      </c>
      <c r="B92" s="502" t="str">
        <f>_xlfn.XLOOKUP($F92,'Physical Condition Assessment'!$U$10:$U$172,'Physical Condition Assessment'!A$10:A$172,"MISSING",0)</f>
        <v>G  BUILDING SITE WORK</v>
      </c>
      <c r="C92" s="502" t="str">
        <f>_xlfn.XLOOKUP($F92,'Physical Condition Assessment'!$U$10:$U$172,'Physical Condition Assessment'!B$10:B$172,"MISSING",0)</f>
        <v>G20 Site Improvements</v>
      </c>
      <c r="D92" s="502" t="str">
        <f>_xlfn.XLOOKUP($F92,'Physical Condition Assessment'!$U$10:$U$172,'Physical Condition Assessment'!C$10:C$172,"MISSING",0)</f>
        <v>G2010 Roadways</v>
      </c>
      <c r="E92" s="502">
        <f>_xlfn.XLOOKUP($F92,'Physical Condition Assessment'!$U$10:$U$172,'Physical Condition Assessment'!D$10:D$172,"MISSING",0)</f>
        <v>0</v>
      </c>
      <c r="F92" s="502" t="s">
        <v>350</v>
      </c>
      <c r="G92" s="502" t="str">
        <f>_xlfn.XLOOKUP($F92,'Physical Condition Assessment'!$U$10:$U$172,'Physical Condition Assessment'!V$10:V$172,"MISSING",0)</f>
        <v>Parking/Traffic</v>
      </c>
      <c r="H92" s="471">
        <f>_xlfn.XLOOKUP($F92,'Physical Condition Assessment'!$U$10:$U$172,'Physical Condition Assessment'!S$10:S$172,"MISSING",0)</f>
        <v>0</v>
      </c>
      <c r="I92" s="471">
        <f>_xlfn.XLOOKUP($F92,'Physical Condition Assessment'!$U$10:$U$172,'Physical Condition Assessment'!AP$10:AP$172,"MISSING",0)</f>
        <v>0</v>
      </c>
      <c r="J92" s="525" t="e">
        <f t="shared" si="10"/>
        <v>#DIV/0!</v>
      </c>
      <c r="K92" s="471">
        <f ca="1">_xlfn.XLOOKUP($F92,'Physical Condition Assessment'!$U$10:$U$172,'Physical Condition Assessment'!AV$10:AV$172,"MISSING",0)</f>
        <v>0</v>
      </c>
      <c r="L92" s="471">
        <f ca="1">_xlfn.XLOOKUP($F92,'Physical Condition Assessment'!$U$10:$U$172,'Physical Condition Assessment'!AW$10:AW$172,"MISSING",0)</f>
        <v>0</v>
      </c>
      <c r="M92" s="471">
        <f ca="1">_xlfn.XLOOKUP($F92,'Physical Condition Assessment'!$U$10:$U$172,'Physical Condition Assessment'!AX$10:AX$172,"MISSING",0)</f>
        <v>0</v>
      </c>
      <c r="N92" s="471">
        <f ca="1">_xlfn.XLOOKUP($F92,'Physical Condition Assessment'!$U$10:$U$172,'Physical Condition Assessment'!AY$10:AY$172,"MISSING",0)</f>
        <v>0</v>
      </c>
    </row>
    <row r="93" spans="1:14" x14ac:dyDescent="0.2">
      <c r="A93" s="502">
        <f>'Base Information Sheet'!$B$5</f>
        <v>0</v>
      </c>
      <c r="B93" s="502" t="str">
        <f>_xlfn.XLOOKUP($F93,'Physical Condition Assessment'!$U$10:$U$172,'Physical Condition Assessment'!A$10:A$172,"MISSING",0)</f>
        <v>G  BUILDING SITE WORK</v>
      </c>
      <c r="C93" s="502" t="str">
        <f>_xlfn.XLOOKUP($F93,'Physical Condition Assessment'!$U$10:$U$172,'Physical Condition Assessment'!B$10:B$172,"MISSING",0)</f>
        <v>G20 Site Improvements</v>
      </c>
      <c r="D93" s="502" t="str">
        <f>_xlfn.XLOOKUP($F93,'Physical Condition Assessment'!$U$10:$U$172,'Physical Condition Assessment'!C$10:C$172,"MISSING",0)</f>
        <v>G2020 Parking Lots</v>
      </c>
      <c r="E93" s="502">
        <f>_xlfn.XLOOKUP($F93,'Physical Condition Assessment'!$U$10:$U$172,'Physical Condition Assessment'!D$10:D$172,"MISSING",0)</f>
        <v>0</v>
      </c>
      <c r="F93" s="502" t="s">
        <v>353</v>
      </c>
      <c r="G93" s="502" t="str">
        <f>_xlfn.XLOOKUP($F93,'Physical Condition Assessment'!$U$10:$U$172,'Physical Condition Assessment'!V$10:V$172,"MISSING",0)</f>
        <v>Parking/Traffic</v>
      </c>
      <c r="H93" s="471">
        <f>_xlfn.XLOOKUP($F93,'Physical Condition Assessment'!$U$10:$U$172,'Physical Condition Assessment'!S$10:S$172,"MISSING",0)</f>
        <v>0</v>
      </c>
      <c r="I93" s="471">
        <f>_xlfn.XLOOKUP($F93,'Physical Condition Assessment'!$U$10:$U$172,'Physical Condition Assessment'!AP$10:AP$172,"MISSING",0)</f>
        <v>0</v>
      </c>
      <c r="J93" s="525" t="e">
        <f t="shared" si="10"/>
        <v>#DIV/0!</v>
      </c>
      <c r="K93" s="471">
        <f ca="1">_xlfn.XLOOKUP($F93,'Physical Condition Assessment'!$U$10:$U$172,'Physical Condition Assessment'!AV$10:AV$172,"MISSING",0)</f>
        <v>0</v>
      </c>
      <c r="L93" s="471">
        <f ca="1">_xlfn.XLOOKUP($F93,'Physical Condition Assessment'!$U$10:$U$172,'Physical Condition Assessment'!AW$10:AW$172,"MISSING",0)</f>
        <v>0</v>
      </c>
      <c r="M93" s="471">
        <f ca="1">_xlfn.XLOOKUP($F93,'Physical Condition Assessment'!$U$10:$U$172,'Physical Condition Assessment'!AX$10:AX$172,"MISSING",0)</f>
        <v>0</v>
      </c>
      <c r="N93" s="471">
        <f ca="1">_xlfn.XLOOKUP($F93,'Physical Condition Assessment'!$U$10:$U$172,'Physical Condition Assessment'!AY$10:AY$172,"MISSING",0)</f>
        <v>0</v>
      </c>
    </row>
    <row r="94" spans="1:14" x14ac:dyDescent="0.2">
      <c r="A94" s="502">
        <f>'Base Information Sheet'!$B$5</f>
        <v>0</v>
      </c>
      <c r="B94" s="502" t="str">
        <f>_xlfn.XLOOKUP($F94,'Physical Condition Assessment'!$U$10:$U$172,'Physical Condition Assessment'!A$10:A$172,"MISSING",0)</f>
        <v>G  BUILDING SITE WORK</v>
      </c>
      <c r="C94" s="502" t="str">
        <f>_xlfn.XLOOKUP($F94,'Physical Condition Assessment'!$U$10:$U$172,'Physical Condition Assessment'!B$10:B$172,"MISSING",0)</f>
        <v>G20 Site Improvements</v>
      </c>
      <c r="D94" s="502" t="str">
        <f>_xlfn.XLOOKUP($F94,'Physical Condition Assessment'!$U$10:$U$172,'Physical Condition Assessment'!C$10:C$172,"MISSING",0)</f>
        <v>G2030 Pedestrian Paving</v>
      </c>
      <c r="E94" s="502">
        <f>_xlfn.XLOOKUP($F94,'Physical Condition Assessment'!$U$10:$U$172,'Physical Condition Assessment'!D$10:D$172,"MISSING",0)</f>
        <v>0</v>
      </c>
      <c r="F94" s="502" t="s">
        <v>355</v>
      </c>
      <c r="G94" s="502" t="str">
        <f>_xlfn.XLOOKUP($F94,'Physical Condition Assessment'!$U$10:$U$172,'Physical Condition Assessment'!V$10:V$172,"MISSING",0)</f>
        <v>Parking/Traffic</v>
      </c>
      <c r="H94" s="471">
        <f>_xlfn.XLOOKUP($F94,'Physical Condition Assessment'!$U$10:$U$172,'Physical Condition Assessment'!S$10:S$172,"MISSING",0)</f>
        <v>0</v>
      </c>
      <c r="I94" s="471">
        <f>_xlfn.XLOOKUP($F94,'Physical Condition Assessment'!$U$10:$U$172,'Physical Condition Assessment'!AP$10:AP$172,"MISSING",0)</f>
        <v>0</v>
      </c>
      <c r="J94" s="525" t="e">
        <f t="shared" si="10"/>
        <v>#DIV/0!</v>
      </c>
      <c r="K94" s="471">
        <f ca="1">_xlfn.XLOOKUP($F94,'Physical Condition Assessment'!$U$10:$U$172,'Physical Condition Assessment'!AV$10:AV$172,"MISSING",0)</f>
        <v>0</v>
      </c>
      <c r="L94" s="471">
        <f ca="1">_xlfn.XLOOKUP($F94,'Physical Condition Assessment'!$U$10:$U$172,'Physical Condition Assessment'!AW$10:AW$172,"MISSING",0)</f>
        <v>0</v>
      </c>
      <c r="M94" s="471">
        <f ca="1">_xlfn.XLOOKUP($F94,'Physical Condition Assessment'!$U$10:$U$172,'Physical Condition Assessment'!AX$10:AX$172,"MISSING",0)</f>
        <v>0</v>
      </c>
      <c r="N94" s="471">
        <f ca="1">_xlfn.XLOOKUP($F94,'Physical Condition Assessment'!$U$10:$U$172,'Physical Condition Assessment'!AY$10:AY$172,"MISSING",0)</f>
        <v>0</v>
      </c>
    </row>
    <row r="95" spans="1:14" x14ac:dyDescent="0.2">
      <c r="A95" s="502">
        <f>'Base Information Sheet'!$B$5</f>
        <v>0</v>
      </c>
      <c r="B95" s="502" t="str">
        <f>_xlfn.XLOOKUP($F95,'Physical Condition Assessment'!$U$10:$U$172,'Physical Condition Assessment'!A$10:A$172,"MISSING",0)</f>
        <v>D    SERVICES</v>
      </c>
      <c r="C95" s="502" t="str">
        <f>_xlfn.XLOOKUP($F95,'Physical Condition Assessment'!$U$10:$U$172,'Physical Condition Assessment'!B$10:B$172,"MISSING",0)</f>
        <v>D20 Plumbing</v>
      </c>
      <c r="D95" s="502" t="str">
        <f>_xlfn.XLOOKUP($F95,'Physical Condition Assessment'!$U$10:$U$172,'Physical Condition Assessment'!C$10:C$172,"MISSING",0)</f>
        <v>D2010 Plumbing Fixtures</v>
      </c>
      <c r="E95" s="502">
        <f>_xlfn.XLOOKUP($F95,'Physical Condition Assessment'!$U$10:$U$172,'Physical Condition Assessment'!D$10:D$172,"MISSING",0)</f>
        <v>0</v>
      </c>
      <c r="F95" s="502" t="s">
        <v>239</v>
      </c>
      <c r="G95" s="502" t="str">
        <f>_xlfn.XLOOKUP($F95,'Physical Condition Assessment'!$U$10:$U$172,'Physical Condition Assessment'!V$10:V$172,"MISSING",0)</f>
        <v>Plumbing</v>
      </c>
      <c r="H95" s="471">
        <f>_xlfn.XLOOKUP($F95,'Physical Condition Assessment'!$U$10:$U$172,'Physical Condition Assessment'!S$10:S$172,"MISSING",0)</f>
        <v>0</v>
      </c>
      <c r="I95" s="471">
        <f>_xlfn.XLOOKUP($F95,'Physical Condition Assessment'!$U$10:$U$172,'Physical Condition Assessment'!AP$10:AP$172,"MISSING",0)</f>
        <v>0</v>
      </c>
      <c r="J95" s="525" t="e">
        <f t="shared" si="10"/>
        <v>#DIV/0!</v>
      </c>
      <c r="K95" s="471">
        <f ca="1">_xlfn.XLOOKUP($F95,'Physical Condition Assessment'!$U$10:$U$172,'Physical Condition Assessment'!AV$10:AV$172,"MISSING",0)</f>
        <v>0</v>
      </c>
      <c r="L95" s="471">
        <f ca="1">_xlfn.XLOOKUP($F95,'Physical Condition Assessment'!$U$10:$U$172,'Physical Condition Assessment'!AW$10:AW$172,"MISSING",0)</f>
        <v>0</v>
      </c>
      <c r="M95" s="471">
        <f ca="1">_xlfn.XLOOKUP($F95,'Physical Condition Assessment'!$U$10:$U$172,'Physical Condition Assessment'!AX$10:AX$172,"MISSING",0)</f>
        <v>0</v>
      </c>
      <c r="N95" s="471">
        <f ca="1">_xlfn.XLOOKUP($F95,'Physical Condition Assessment'!$U$10:$U$172,'Physical Condition Assessment'!AY$10:AY$172,"MISSING",0)</f>
        <v>0</v>
      </c>
    </row>
    <row r="96" spans="1:14" x14ac:dyDescent="0.2">
      <c r="A96" s="502">
        <f>'Base Information Sheet'!$B$5</f>
        <v>0</v>
      </c>
      <c r="B96" s="502" t="str">
        <f>_xlfn.XLOOKUP($F96,'Physical Condition Assessment'!$U$10:$U$172,'Physical Condition Assessment'!A$10:A$172,"MISSING",0)</f>
        <v>D    SERVICES</v>
      </c>
      <c r="C96" s="502" t="str">
        <f>_xlfn.XLOOKUP($F96,'Physical Condition Assessment'!$U$10:$U$172,'Physical Condition Assessment'!B$10:B$172,"MISSING",0)</f>
        <v>D20 Plumbing</v>
      </c>
      <c r="D96" s="502" t="str">
        <f>_xlfn.XLOOKUP($F96,'Physical Condition Assessment'!$U$10:$U$172,'Physical Condition Assessment'!C$10:C$172,"MISSING",0)</f>
        <v>D2020 Domestic Water Distribution</v>
      </c>
      <c r="E96" s="502">
        <f>_xlfn.XLOOKUP($F96,'Physical Condition Assessment'!$U$10:$U$172,'Physical Condition Assessment'!D$10:D$172,"MISSING",0)</f>
        <v>0</v>
      </c>
      <c r="F96" s="502" t="s">
        <v>242</v>
      </c>
      <c r="G96" s="502" t="str">
        <f>_xlfn.XLOOKUP($F96,'Physical Condition Assessment'!$U$10:$U$172,'Physical Condition Assessment'!V$10:V$172,"MISSING",0)</f>
        <v>Plumbing</v>
      </c>
      <c r="H96" s="471">
        <f>_xlfn.XLOOKUP($F96,'Physical Condition Assessment'!$U$10:$U$172,'Physical Condition Assessment'!S$10:S$172,"MISSING",0)</f>
        <v>0</v>
      </c>
      <c r="I96" s="471">
        <f>_xlfn.XLOOKUP($F96,'Physical Condition Assessment'!$U$10:$U$172,'Physical Condition Assessment'!AP$10:AP$172,"MISSING",0)</f>
        <v>0</v>
      </c>
      <c r="J96" s="525" t="e">
        <f t="shared" si="10"/>
        <v>#DIV/0!</v>
      </c>
      <c r="K96" s="471">
        <f ca="1">_xlfn.XLOOKUP($F96,'Physical Condition Assessment'!$U$10:$U$172,'Physical Condition Assessment'!AV$10:AV$172,"MISSING",0)</f>
        <v>0</v>
      </c>
      <c r="L96" s="471">
        <f ca="1">_xlfn.XLOOKUP($F96,'Physical Condition Assessment'!$U$10:$U$172,'Physical Condition Assessment'!AW$10:AW$172,"MISSING",0)</f>
        <v>0</v>
      </c>
      <c r="M96" s="471">
        <f ca="1">_xlfn.XLOOKUP($F96,'Physical Condition Assessment'!$U$10:$U$172,'Physical Condition Assessment'!AX$10:AX$172,"MISSING",0)</f>
        <v>0</v>
      </c>
      <c r="N96" s="471">
        <f ca="1">_xlfn.XLOOKUP($F96,'Physical Condition Assessment'!$U$10:$U$172,'Physical Condition Assessment'!AY$10:AY$172,"MISSING",0)</f>
        <v>0</v>
      </c>
    </row>
    <row r="97" spans="1:14" x14ac:dyDescent="0.2">
      <c r="A97" s="502">
        <f>'Base Information Sheet'!$B$5</f>
        <v>0</v>
      </c>
      <c r="B97" s="502" t="str">
        <f>_xlfn.XLOOKUP($F97,'Physical Condition Assessment'!$U$10:$U$172,'Physical Condition Assessment'!A$10:A$172,"MISSING",0)</f>
        <v>D    SERVICES</v>
      </c>
      <c r="C97" s="502" t="str">
        <f>_xlfn.XLOOKUP($F97,'Physical Condition Assessment'!$U$10:$U$172,'Physical Condition Assessment'!B$10:B$172,"MISSING",0)</f>
        <v>D20 Plumbing</v>
      </c>
      <c r="D97" s="502" t="str">
        <f>_xlfn.XLOOKUP($F97,'Physical Condition Assessment'!$U$10:$U$172,'Physical Condition Assessment'!C$10:C$172,"MISSING",0)</f>
        <v>D2030 Sanitary Waste</v>
      </c>
      <c r="E97" s="502">
        <f>_xlfn.XLOOKUP($F97,'Physical Condition Assessment'!$U$10:$U$172,'Physical Condition Assessment'!D$10:D$172,"MISSING",0)</f>
        <v>0</v>
      </c>
      <c r="F97" s="502" t="s">
        <v>244</v>
      </c>
      <c r="G97" s="502" t="str">
        <f>_xlfn.XLOOKUP($F97,'Physical Condition Assessment'!$U$10:$U$172,'Physical Condition Assessment'!V$10:V$172,"MISSING",0)</f>
        <v>Plumbing</v>
      </c>
      <c r="H97" s="471">
        <f>_xlfn.XLOOKUP($F97,'Physical Condition Assessment'!$U$10:$U$172,'Physical Condition Assessment'!S$10:S$172,"MISSING",0)</f>
        <v>0</v>
      </c>
      <c r="I97" s="471">
        <f>_xlfn.XLOOKUP($F97,'Physical Condition Assessment'!$U$10:$U$172,'Physical Condition Assessment'!AP$10:AP$172,"MISSING",0)</f>
        <v>0</v>
      </c>
      <c r="J97" s="525" t="e">
        <f t="shared" si="10"/>
        <v>#DIV/0!</v>
      </c>
      <c r="K97" s="471">
        <f ca="1">_xlfn.XLOOKUP($F97,'Physical Condition Assessment'!$U$10:$U$172,'Physical Condition Assessment'!AV$10:AV$172,"MISSING",0)</f>
        <v>0</v>
      </c>
      <c r="L97" s="471">
        <f ca="1">_xlfn.XLOOKUP($F97,'Physical Condition Assessment'!$U$10:$U$172,'Physical Condition Assessment'!AW$10:AW$172,"MISSING",0)</f>
        <v>0</v>
      </c>
      <c r="M97" s="471">
        <f ca="1">_xlfn.XLOOKUP($F97,'Physical Condition Assessment'!$U$10:$U$172,'Physical Condition Assessment'!AX$10:AX$172,"MISSING",0)</f>
        <v>0</v>
      </c>
      <c r="N97" s="471">
        <f ca="1">_xlfn.XLOOKUP($F97,'Physical Condition Assessment'!$U$10:$U$172,'Physical Condition Assessment'!AY$10:AY$172,"MISSING",0)</f>
        <v>0</v>
      </c>
    </row>
    <row r="98" spans="1:14" x14ac:dyDescent="0.2">
      <c r="A98" s="502">
        <f>'Base Information Sheet'!$B$5</f>
        <v>0</v>
      </c>
      <c r="B98" s="502" t="str">
        <f>_xlfn.XLOOKUP($F98,'Physical Condition Assessment'!$U$10:$U$172,'Physical Condition Assessment'!A$10:A$172,"MISSING",0)</f>
        <v>D    SERVICES</v>
      </c>
      <c r="C98" s="502" t="str">
        <f>_xlfn.XLOOKUP($F98,'Physical Condition Assessment'!$U$10:$U$172,'Physical Condition Assessment'!B$10:B$172,"MISSING",0)</f>
        <v>D20 Plumbing</v>
      </c>
      <c r="D98" s="502" t="str">
        <f>_xlfn.XLOOKUP($F98,'Physical Condition Assessment'!$U$10:$U$172,'Physical Condition Assessment'!C$10:C$172,"MISSING",0)</f>
        <v>D2040 Rain Water Drainage</v>
      </c>
      <c r="E98" s="502">
        <f>_xlfn.XLOOKUP($F98,'Physical Condition Assessment'!$U$10:$U$172,'Physical Condition Assessment'!D$10:D$172,"MISSING",0)</f>
        <v>0</v>
      </c>
      <c r="F98" s="502" t="s">
        <v>246</v>
      </c>
      <c r="G98" s="502" t="str">
        <f>_xlfn.XLOOKUP($F98,'Physical Condition Assessment'!$U$10:$U$172,'Physical Condition Assessment'!V$10:V$172,"MISSING",0)</f>
        <v>Plumbing</v>
      </c>
      <c r="H98" s="471">
        <f>_xlfn.XLOOKUP($F98,'Physical Condition Assessment'!$U$10:$U$172,'Physical Condition Assessment'!S$10:S$172,"MISSING",0)</f>
        <v>0</v>
      </c>
      <c r="I98" s="471">
        <f>_xlfn.XLOOKUP($F98,'Physical Condition Assessment'!$U$10:$U$172,'Physical Condition Assessment'!AP$10:AP$172,"MISSING",0)</f>
        <v>0</v>
      </c>
      <c r="J98" s="525" t="e">
        <f t="shared" si="10"/>
        <v>#DIV/0!</v>
      </c>
      <c r="K98" s="471">
        <f ca="1">_xlfn.XLOOKUP($F98,'Physical Condition Assessment'!$U$10:$U$172,'Physical Condition Assessment'!AV$10:AV$172,"MISSING",0)</f>
        <v>0</v>
      </c>
      <c r="L98" s="471">
        <f ca="1">_xlfn.XLOOKUP($F98,'Physical Condition Assessment'!$U$10:$U$172,'Physical Condition Assessment'!AW$10:AW$172,"MISSING",0)</f>
        <v>0</v>
      </c>
      <c r="M98" s="471">
        <f ca="1">_xlfn.XLOOKUP($F98,'Physical Condition Assessment'!$U$10:$U$172,'Physical Condition Assessment'!AX$10:AX$172,"MISSING",0)</f>
        <v>0</v>
      </c>
      <c r="N98" s="471">
        <f ca="1">_xlfn.XLOOKUP($F98,'Physical Condition Assessment'!$U$10:$U$172,'Physical Condition Assessment'!AY$10:AY$172,"MISSING",0)</f>
        <v>0</v>
      </c>
    </row>
    <row r="99" spans="1:14" x14ac:dyDescent="0.2">
      <c r="A99" s="502">
        <f>'Base Information Sheet'!$B$5</f>
        <v>0</v>
      </c>
      <c r="B99" s="502" t="str">
        <f>_xlfn.XLOOKUP($F99,'Physical Condition Assessment'!$U$10:$U$172,'Physical Condition Assessment'!A$10:A$172,"MISSING",0)</f>
        <v>D    SERVICES</v>
      </c>
      <c r="C99" s="502" t="str">
        <f>_xlfn.XLOOKUP($F99,'Physical Condition Assessment'!$U$10:$U$172,'Physical Condition Assessment'!B$10:B$172,"MISSING",0)</f>
        <v>D40 Fire Protection</v>
      </c>
      <c r="D99" s="502" t="str">
        <f>_xlfn.XLOOKUP($F99,'Physical Condition Assessment'!$U$10:$U$172,'Physical Condition Assessment'!C$10:C$172,"MISSING",0)</f>
        <v>D4010 Sprinklers</v>
      </c>
      <c r="E99" s="502">
        <f>_xlfn.XLOOKUP($F99,'Physical Condition Assessment'!$U$10:$U$172,'Physical Condition Assessment'!D$10:D$172,"MISSING",0)</f>
        <v>0</v>
      </c>
      <c r="F99" s="502" t="s">
        <v>292</v>
      </c>
      <c r="G99" s="502" t="str">
        <f>_xlfn.XLOOKUP($F99,'Physical Condition Assessment'!$U$10:$U$172,'Physical Condition Assessment'!V$10:V$172,"MISSING",0)</f>
        <v>Safety/Security</v>
      </c>
      <c r="H99" s="471">
        <f>_xlfn.XLOOKUP($F99,'Physical Condition Assessment'!$U$10:$U$172,'Physical Condition Assessment'!S$10:S$172,"MISSING",0)</f>
        <v>0</v>
      </c>
      <c r="I99" s="471">
        <f>_xlfn.XLOOKUP($F99,'Physical Condition Assessment'!$U$10:$U$172,'Physical Condition Assessment'!AP$10:AP$172,"MISSING",0)</f>
        <v>0</v>
      </c>
      <c r="J99" s="525" t="e">
        <f t="shared" si="10"/>
        <v>#DIV/0!</v>
      </c>
      <c r="K99" s="471">
        <f ca="1">_xlfn.XLOOKUP($F99,'Physical Condition Assessment'!$U$10:$U$172,'Physical Condition Assessment'!AV$10:AV$172,"MISSING",0)</f>
        <v>0</v>
      </c>
      <c r="L99" s="471">
        <f ca="1">_xlfn.XLOOKUP($F99,'Physical Condition Assessment'!$U$10:$U$172,'Physical Condition Assessment'!AW$10:AW$172,"MISSING",0)</f>
        <v>0</v>
      </c>
      <c r="M99" s="471">
        <f ca="1">_xlfn.XLOOKUP($F99,'Physical Condition Assessment'!$U$10:$U$172,'Physical Condition Assessment'!AX$10:AX$172,"MISSING",0)</f>
        <v>0</v>
      </c>
      <c r="N99" s="471">
        <f ca="1">_xlfn.XLOOKUP($F99,'Physical Condition Assessment'!$U$10:$U$172,'Physical Condition Assessment'!AY$10:AY$172,"MISSING",0)</f>
        <v>0</v>
      </c>
    </row>
    <row r="100" spans="1:14" x14ac:dyDescent="0.2">
      <c r="A100" s="502">
        <f>'Base Information Sheet'!$B$5</f>
        <v>0</v>
      </c>
      <c r="B100" s="502" t="str">
        <f>_xlfn.XLOOKUP($F100,'Physical Condition Assessment'!$U$10:$U$172,'Physical Condition Assessment'!A$10:A$172,"MISSING",0)</f>
        <v>D    SERVICES</v>
      </c>
      <c r="C100" s="502" t="str">
        <f>_xlfn.XLOOKUP($F100,'Physical Condition Assessment'!$U$10:$U$172,'Physical Condition Assessment'!B$10:B$172,"MISSING",0)</f>
        <v>D40 Fire Protection</v>
      </c>
      <c r="D100" s="502" t="str">
        <f>_xlfn.XLOOKUP($F100,'Physical Condition Assessment'!$U$10:$U$172,'Physical Condition Assessment'!C$10:C$172,"MISSING",0)</f>
        <v>D4020 Standpipes</v>
      </c>
      <c r="E100" s="502">
        <f>_xlfn.XLOOKUP($F100,'Physical Condition Assessment'!$U$10:$U$172,'Physical Condition Assessment'!D$10:D$172,"MISSING",0)</f>
        <v>0</v>
      </c>
      <c r="F100" s="502" t="s">
        <v>295</v>
      </c>
      <c r="G100" s="502" t="str">
        <f>_xlfn.XLOOKUP($F100,'Physical Condition Assessment'!$U$10:$U$172,'Physical Condition Assessment'!V$10:V$172,"MISSING",0)</f>
        <v>Safety/Security</v>
      </c>
      <c r="H100" s="471">
        <f>_xlfn.XLOOKUP($F100,'Physical Condition Assessment'!$U$10:$U$172,'Physical Condition Assessment'!S$10:S$172,"MISSING",0)</f>
        <v>0</v>
      </c>
      <c r="I100" s="471">
        <f>_xlfn.XLOOKUP($F100,'Physical Condition Assessment'!$U$10:$U$172,'Physical Condition Assessment'!AP$10:AP$172,"MISSING",0)</f>
        <v>0</v>
      </c>
      <c r="J100" s="525" t="e">
        <f t="shared" si="10"/>
        <v>#DIV/0!</v>
      </c>
      <c r="K100" s="471">
        <f ca="1">_xlfn.XLOOKUP($F100,'Physical Condition Assessment'!$U$10:$U$172,'Physical Condition Assessment'!AV$10:AV$172,"MISSING",0)</f>
        <v>0</v>
      </c>
      <c r="L100" s="471">
        <f ca="1">_xlfn.XLOOKUP($F100,'Physical Condition Assessment'!$U$10:$U$172,'Physical Condition Assessment'!AW$10:AW$172,"MISSING",0)</f>
        <v>0</v>
      </c>
      <c r="M100" s="471">
        <f ca="1">_xlfn.XLOOKUP($F100,'Physical Condition Assessment'!$U$10:$U$172,'Physical Condition Assessment'!AX$10:AX$172,"MISSING",0)</f>
        <v>0</v>
      </c>
      <c r="N100" s="471">
        <f ca="1">_xlfn.XLOOKUP($F100,'Physical Condition Assessment'!$U$10:$U$172,'Physical Condition Assessment'!AY$10:AY$172,"MISSING",0)</f>
        <v>0</v>
      </c>
    </row>
    <row r="101" spans="1:14" x14ac:dyDescent="0.2">
      <c r="A101" s="502">
        <f>'Base Information Sheet'!$B$5</f>
        <v>0</v>
      </c>
      <c r="B101" s="502" t="str">
        <f>_xlfn.XLOOKUP($F101,'Physical Condition Assessment'!$U$10:$U$172,'Physical Condition Assessment'!A$10:A$172,"MISSING",0)</f>
        <v>G  BUILDING SITE WORK</v>
      </c>
      <c r="C101" s="502" t="str">
        <f>_xlfn.XLOOKUP($F101,'Physical Condition Assessment'!$U$10:$U$172,'Physical Condition Assessment'!B$10:B$172,"MISSING",0)</f>
        <v>G30 Site Mechanical Utilities</v>
      </c>
      <c r="D101" s="502" t="str">
        <f>_xlfn.XLOOKUP($F101,'Physical Condition Assessment'!$U$10:$U$172,'Physical Condition Assessment'!C$10:C$172,"MISSING",0)</f>
        <v>G3010 Water Supply</v>
      </c>
      <c r="E101" s="502" t="str">
        <f>_xlfn.XLOOKUP($F101,'Physical Condition Assessment'!$U$10:$U$172,'Physical Condition Assessment'!D$10:D$172,"MISSING",0)</f>
        <v>Domestic</v>
      </c>
      <c r="F101" s="502" t="s">
        <v>364</v>
      </c>
      <c r="G101" s="502" t="str">
        <f>_xlfn.XLOOKUP($F101,'Physical Condition Assessment'!$U$10:$U$172,'Physical Condition Assessment'!V$10:V$172,"MISSING",0)</f>
        <v>Plumbing</v>
      </c>
      <c r="H101" s="471">
        <f>_xlfn.XLOOKUP($F101,'Physical Condition Assessment'!$U$10:$U$172,'Physical Condition Assessment'!S$10:S$172,"MISSING",0)</f>
        <v>0</v>
      </c>
      <c r="I101" s="471">
        <f>_xlfn.XLOOKUP($F101,'Physical Condition Assessment'!$U$10:$U$172,'Physical Condition Assessment'!AP$10:AP$172,"MISSING",0)</f>
        <v>0</v>
      </c>
      <c r="J101" s="525" t="e">
        <f t="shared" si="10"/>
        <v>#DIV/0!</v>
      </c>
      <c r="K101" s="471">
        <f ca="1">_xlfn.XLOOKUP($F101,'Physical Condition Assessment'!$U$10:$U$172,'Physical Condition Assessment'!AV$10:AV$172,"MISSING",0)</f>
        <v>0</v>
      </c>
      <c r="L101" s="471">
        <f ca="1">_xlfn.XLOOKUP($F101,'Physical Condition Assessment'!$U$10:$U$172,'Physical Condition Assessment'!AW$10:AW$172,"MISSING",0)</f>
        <v>0</v>
      </c>
      <c r="M101" s="471">
        <f ca="1">_xlfn.XLOOKUP($F101,'Physical Condition Assessment'!$U$10:$U$172,'Physical Condition Assessment'!AX$10:AX$172,"MISSING",0)</f>
        <v>0</v>
      </c>
      <c r="N101" s="471">
        <f ca="1">_xlfn.XLOOKUP($F101,'Physical Condition Assessment'!$U$10:$U$172,'Physical Condition Assessment'!AY$10:AY$172,"MISSING",0)</f>
        <v>0</v>
      </c>
    </row>
    <row r="102" spans="1:14" x14ac:dyDescent="0.2">
      <c r="A102" s="502">
        <f>'Base Information Sheet'!$B$5</f>
        <v>0</v>
      </c>
      <c r="B102" s="502" t="str">
        <f>_xlfn.XLOOKUP($F102,'Physical Condition Assessment'!$U$10:$U$172,'Physical Condition Assessment'!A$10:A$172,"MISSING",0)</f>
        <v>G  BUILDING SITE WORK</v>
      </c>
      <c r="C102" s="502" t="str">
        <f>_xlfn.XLOOKUP($F102,'Physical Condition Assessment'!$U$10:$U$172,'Physical Condition Assessment'!B$10:B$172,"MISSING",0)</f>
        <v>G30 Site Mechanical Utilities</v>
      </c>
      <c r="D102" s="502" t="str">
        <f>_xlfn.XLOOKUP($F102,'Physical Condition Assessment'!$U$10:$U$172,'Physical Condition Assessment'!C$10:C$172,"MISSING",0)</f>
        <v>G3010 Water Supply</v>
      </c>
      <c r="E102" s="502" t="str">
        <f>_xlfn.XLOOKUP($F102,'Physical Condition Assessment'!$U$10:$U$172,'Physical Condition Assessment'!D$10:D$172,"MISSING",0)</f>
        <v>Fire</v>
      </c>
      <c r="F102" s="502" t="s">
        <v>366</v>
      </c>
      <c r="G102" s="502" t="str">
        <f>_xlfn.XLOOKUP($F102,'Physical Condition Assessment'!$U$10:$U$172,'Physical Condition Assessment'!V$10:V$172,"MISSING",0)</f>
        <v>Plumbing</v>
      </c>
      <c r="H102" s="471">
        <f>_xlfn.XLOOKUP($F102,'Physical Condition Assessment'!$U$10:$U$172,'Physical Condition Assessment'!S$10:S$172,"MISSING",0)</f>
        <v>0</v>
      </c>
      <c r="I102" s="471">
        <f>_xlfn.XLOOKUP($F102,'Physical Condition Assessment'!$U$10:$U$172,'Physical Condition Assessment'!AP$10:AP$172,"MISSING",0)</f>
        <v>0</v>
      </c>
      <c r="J102" s="525" t="e">
        <f t="shared" si="10"/>
        <v>#DIV/0!</v>
      </c>
      <c r="K102" s="471">
        <f ca="1">_xlfn.XLOOKUP($F102,'Physical Condition Assessment'!$U$10:$U$172,'Physical Condition Assessment'!AV$10:AV$172,"MISSING",0)</f>
        <v>0</v>
      </c>
      <c r="L102" s="471">
        <f ca="1">_xlfn.XLOOKUP($F102,'Physical Condition Assessment'!$U$10:$U$172,'Physical Condition Assessment'!AW$10:AW$172,"MISSING",0)</f>
        <v>0</v>
      </c>
      <c r="M102" s="471">
        <f ca="1">_xlfn.XLOOKUP($F102,'Physical Condition Assessment'!$U$10:$U$172,'Physical Condition Assessment'!AX$10:AX$172,"MISSING",0)</f>
        <v>0</v>
      </c>
      <c r="N102" s="471">
        <f ca="1">_xlfn.XLOOKUP($F102,'Physical Condition Assessment'!$U$10:$U$172,'Physical Condition Assessment'!AY$10:AY$172,"MISSING",0)</f>
        <v>0</v>
      </c>
    </row>
    <row r="103" spans="1:14" x14ac:dyDescent="0.2">
      <c r="A103" s="502">
        <f>'Base Information Sheet'!$B$5</f>
        <v>0</v>
      </c>
      <c r="B103" s="502" t="str">
        <f>_xlfn.XLOOKUP($F103,'Physical Condition Assessment'!$U$10:$U$172,'Physical Condition Assessment'!A$10:A$172,"MISSING",0)</f>
        <v>B    SHELL</v>
      </c>
      <c r="C103" s="502" t="str">
        <f>_xlfn.XLOOKUP($F103,'Physical Condition Assessment'!$U$10:$U$172,'Physical Condition Assessment'!B$10:B$172,"MISSING",0)</f>
        <v>B10 Superstructure</v>
      </c>
      <c r="D103" s="502" t="str">
        <f>_xlfn.XLOOKUP($F103,'Physical Condition Assessment'!$U$10:$U$172,'Physical Condition Assessment'!C$10:C$172,"MISSING",0)</f>
        <v>B1020 Roof Construction</v>
      </c>
      <c r="E103" s="502" t="str">
        <f>_xlfn.XLOOKUP($F103,'Physical Condition Assessment'!$U$10:$U$172,'Physical Condition Assessment'!D$10:D$172,"MISSING",0)</f>
        <v>Concrete</v>
      </c>
      <c r="F103" s="502" t="s">
        <v>95</v>
      </c>
      <c r="G103" s="502" t="str">
        <f>_xlfn.XLOOKUP($F103,'Physical Condition Assessment'!$U$10:$U$172,'Physical Condition Assessment'!V$10:V$172,"MISSING",0)</f>
        <v>Roofing</v>
      </c>
      <c r="H103" s="471">
        <f>_xlfn.XLOOKUP($F103,'Physical Condition Assessment'!$U$10:$U$172,'Physical Condition Assessment'!S$10:S$172,"MISSING",0)</f>
        <v>0</v>
      </c>
      <c r="I103" s="471">
        <f>_xlfn.XLOOKUP($F103,'Physical Condition Assessment'!$U$10:$U$172,'Physical Condition Assessment'!AP$10:AP$172,"MISSING",0)</f>
        <v>0</v>
      </c>
      <c r="J103" s="525" t="e">
        <f t="shared" si="10"/>
        <v>#DIV/0!</v>
      </c>
      <c r="K103" s="471">
        <f ca="1">_xlfn.XLOOKUP($F103,'Physical Condition Assessment'!$U$10:$U$172,'Physical Condition Assessment'!AV$10:AV$172,"MISSING",0)</f>
        <v>0</v>
      </c>
      <c r="L103" s="471">
        <f ca="1">_xlfn.XLOOKUP($F103,'Physical Condition Assessment'!$U$10:$U$172,'Physical Condition Assessment'!AW$10:AW$172,"MISSING",0)</f>
        <v>0</v>
      </c>
      <c r="M103" s="471">
        <f ca="1">_xlfn.XLOOKUP($F103,'Physical Condition Assessment'!$U$10:$U$172,'Physical Condition Assessment'!AX$10:AX$172,"MISSING",0)</f>
        <v>0</v>
      </c>
      <c r="N103" s="471">
        <f ca="1">_xlfn.XLOOKUP($F103,'Physical Condition Assessment'!$U$10:$U$172,'Physical Condition Assessment'!AY$10:AY$172,"MISSING",0)</f>
        <v>0</v>
      </c>
    </row>
    <row r="104" spans="1:14" x14ac:dyDescent="0.2">
      <c r="A104" s="502">
        <f>'Base Information Sheet'!$B$5</f>
        <v>0</v>
      </c>
      <c r="B104" s="502" t="str">
        <f>_xlfn.XLOOKUP($F104,'Physical Condition Assessment'!$U$10:$U$172,'Physical Condition Assessment'!A$10:A$172,"MISSING",0)</f>
        <v>B    SHELL</v>
      </c>
      <c r="C104" s="502" t="str">
        <f>_xlfn.XLOOKUP($F104,'Physical Condition Assessment'!$U$10:$U$172,'Physical Condition Assessment'!B$10:B$172,"MISSING",0)</f>
        <v>B10 Superstructure</v>
      </c>
      <c r="D104" s="502" t="str">
        <f>_xlfn.XLOOKUP($F104,'Physical Condition Assessment'!$U$10:$U$172,'Physical Condition Assessment'!C$10:C$172,"MISSING",0)</f>
        <v>B1020 Roof Construction</v>
      </c>
      <c r="E104" s="502" t="str">
        <f>_xlfn.XLOOKUP($F104,'Physical Condition Assessment'!$U$10:$U$172,'Physical Condition Assessment'!D$10:D$172,"MISSING",0)</f>
        <v>Steel</v>
      </c>
      <c r="F104" s="502" t="s">
        <v>94</v>
      </c>
      <c r="G104" s="502" t="str">
        <f>_xlfn.XLOOKUP($F104,'Physical Condition Assessment'!$U$10:$U$172,'Physical Condition Assessment'!V$10:V$172,"MISSING",0)</f>
        <v>Roofing</v>
      </c>
      <c r="H104" s="471">
        <f>_xlfn.XLOOKUP($F104,'Physical Condition Assessment'!$U$10:$U$172,'Physical Condition Assessment'!S$10:S$172,"MISSING",0)</f>
        <v>0</v>
      </c>
      <c r="I104" s="471">
        <f>_xlfn.XLOOKUP($F104,'Physical Condition Assessment'!$U$10:$U$172,'Physical Condition Assessment'!AP$10:AP$172,"MISSING",0)</f>
        <v>0</v>
      </c>
      <c r="J104" s="525" t="e">
        <f t="shared" si="10"/>
        <v>#DIV/0!</v>
      </c>
      <c r="K104" s="471">
        <f ca="1">_xlfn.XLOOKUP($F104,'Physical Condition Assessment'!$U$10:$U$172,'Physical Condition Assessment'!AV$10:AV$172,"MISSING",0)</f>
        <v>0</v>
      </c>
      <c r="L104" s="471">
        <f ca="1">_xlfn.XLOOKUP($F104,'Physical Condition Assessment'!$U$10:$U$172,'Physical Condition Assessment'!AW$10:AW$172,"MISSING",0)</f>
        <v>0</v>
      </c>
      <c r="M104" s="471">
        <f ca="1">_xlfn.XLOOKUP($F104,'Physical Condition Assessment'!$U$10:$U$172,'Physical Condition Assessment'!AX$10:AX$172,"MISSING",0)</f>
        <v>0</v>
      </c>
      <c r="N104" s="471">
        <f ca="1">_xlfn.XLOOKUP($F104,'Physical Condition Assessment'!$U$10:$U$172,'Physical Condition Assessment'!AY$10:AY$172,"MISSING",0)</f>
        <v>0</v>
      </c>
    </row>
    <row r="105" spans="1:14" x14ac:dyDescent="0.2">
      <c r="A105" s="502">
        <f>'Base Information Sheet'!$B$5</f>
        <v>0</v>
      </c>
      <c r="B105" s="502" t="str">
        <f>_xlfn.XLOOKUP($F105,'Physical Condition Assessment'!$U$10:$U$172,'Physical Condition Assessment'!A$10:A$172,"MISSING",0)</f>
        <v>B    SHELL</v>
      </c>
      <c r="C105" s="502" t="str">
        <f>_xlfn.XLOOKUP($F105,'Physical Condition Assessment'!$U$10:$U$172,'Physical Condition Assessment'!B$10:B$172,"MISSING",0)</f>
        <v>B30 Roofing</v>
      </c>
      <c r="D105" s="502" t="str">
        <f>_xlfn.XLOOKUP($F105,'Physical Condition Assessment'!$U$10:$U$172,'Physical Condition Assessment'!C$10:C$172,"MISSING",0)</f>
        <v>B3010 Roof Coverings</v>
      </c>
      <c r="E105" s="502" t="str">
        <f>_xlfn.XLOOKUP($F105,'Physical Condition Assessment'!$U$10:$U$172,'Physical Condition Assessment'!D$10:D$172,"MISSING",0)</f>
        <v>Asphalt Shingle</v>
      </c>
      <c r="F105" s="502" t="s">
        <v>138</v>
      </c>
      <c r="G105" s="502" t="str">
        <f>_xlfn.XLOOKUP($F105,'Physical Condition Assessment'!$U$10:$U$172,'Physical Condition Assessment'!V$10:V$172,"MISSING",0)</f>
        <v>Roofing</v>
      </c>
      <c r="H105" s="471">
        <f>_xlfn.XLOOKUP($F105,'Physical Condition Assessment'!$U$10:$U$172,'Physical Condition Assessment'!S$10:S$172,"MISSING",0)</f>
        <v>0</v>
      </c>
      <c r="I105" s="471">
        <f>_xlfn.XLOOKUP($F105,'Physical Condition Assessment'!$U$10:$U$172,'Physical Condition Assessment'!AP$10:AP$172,"MISSING",0)</f>
        <v>0</v>
      </c>
      <c r="J105" s="525" t="e">
        <f t="shared" si="10"/>
        <v>#DIV/0!</v>
      </c>
      <c r="K105" s="471">
        <f ca="1">_xlfn.XLOOKUP($F105,'Physical Condition Assessment'!$U$10:$U$172,'Physical Condition Assessment'!AV$10:AV$172,"MISSING",0)</f>
        <v>0</v>
      </c>
      <c r="L105" s="471">
        <f ca="1">_xlfn.XLOOKUP($F105,'Physical Condition Assessment'!$U$10:$U$172,'Physical Condition Assessment'!AW$10:AW$172,"MISSING",0)</f>
        <v>0</v>
      </c>
      <c r="M105" s="471">
        <f ca="1">_xlfn.XLOOKUP($F105,'Physical Condition Assessment'!$U$10:$U$172,'Physical Condition Assessment'!AX$10:AX$172,"MISSING",0)</f>
        <v>0</v>
      </c>
      <c r="N105" s="471">
        <f ca="1">_xlfn.XLOOKUP($F105,'Physical Condition Assessment'!$U$10:$U$172,'Physical Condition Assessment'!AY$10:AY$172,"MISSING",0)</f>
        <v>0</v>
      </c>
    </row>
    <row r="106" spans="1:14" x14ac:dyDescent="0.2">
      <c r="A106" s="502">
        <f>'Base Information Sheet'!$B$5</f>
        <v>0</v>
      </c>
      <c r="B106" s="502" t="str">
        <f>_xlfn.XLOOKUP($F106,'Physical Condition Assessment'!$U$10:$U$172,'Physical Condition Assessment'!A$10:A$172,"MISSING",0)</f>
        <v>B    SHELL</v>
      </c>
      <c r="C106" s="502" t="str">
        <f>_xlfn.XLOOKUP($F106,'Physical Condition Assessment'!$U$10:$U$172,'Physical Condition Assessment'!B$10:B$172,"MISSING",0)</f>
        <v>B30 Roofing</v>
      </c>
      <c r="D106" s="502" t="str">
        <f>_xlfn.XLOOKUP($F106,'Physical Condition Assessment'!$U$10:$U$172,'Physical Condition Assessment'!C$10:C$172,"MISSING",0)</f>
        <v>B3010 Roof Coverings</v>
      </c>
      <c r="E106" s="502" t="str">
        <f>_xlfn.XLOOKUP($F106,'Physical Condition Assessment'!$U$10:$U$172,'Physical Condition Assessment'!D$10:D$172,"MISSING",0)</f>
        <v>Built-Up</v>
      </c>
      <c r="F106" s="502" t="s">
        <v>146</v>
      </c>
      <c r="G106" s="502" t="str">
        <f>_xlfn.XLOOKUP($F106,'Physical Condition Assessment'!$U$10:$U$172,'Physical Condition Assessment'!V$10:V$172,"MISSING",0)</f>
        <v>Roofing</v>
      </c>
      <c r="H106" s="471">
        <f>_xlfn.XLOOKUP($F106,'Physical Condition Assessment'!$U$10:$U$172,'Physical Condition Assessment'!S$10:S$172,"MISSING",0)</f>
        <v>0</v>
      </c>
      <c r="I106" s="471">
        <f>_xlfn.XLOOKUP($F106,'Physical Condition Assessment'!$U$10:$U$172,'Physical Condition Assessment'!AP$10:AP$172,"MISSING",0)</f>
        <v>0</v>
      </c>
      <c r="J106" s="525" t="e">
        <f t="shared" si="10"/>
        <v>#DIV/0!</v>
      </c>
      <c r="K106" s="471">
        <f ca="1">_xlfn.XLOOKUP($F106,'Physical Condition Assessment'!$U$10:$U$172,'Physical Condition Assessment'!AV$10:AV$172,"MISSING",0)</f>
        <v>0</v>
      </c>
      <c r="L106" s="471">
        <f ca="1">_xlfn.XLOOKUP($F106,'Physical Condition Assessment'!$U$10:$U$172,'Physical Condition Assessment'!AW$10:AW$172,"MISSING",0)</f>
        <v>0</v>
      </c>
      <c r="M106" s="471">
        <f ca="1">_xlfn.XLOOKUP($F106,'Physical Condition Assessment'!$U$10:$U$172,'Physical Condition Assessment'!AX$10:AX$172,"MISSING",0)</f>
        <v>0</v>
      </c>
      <c r="N106" s="471">
        <f ca="1">_xlfn.XLOOKUP($F106,'Physical Condition Assessment'!$U$10:$U$172,'Physical Condition Assessment'!AY$10:AY$172,"MISSING",0)</f>
        <v>0</v>
      </c>
    </row>
    <row r="107" spans="1:14" x14ac:dyDescent="0.2">
      <c r="A107" s="502">
        <f>'Base Information Sheet'!$B$5</f>
        <v>0</v>
      </c>
      <c r="B107" s="502" t="str">
        <f>_xlfn.XLOOKUP($F107,'Physical Condition Assessment'!$U$10:$U$172,'Physical Condition Assessment'!A$10:A$172,"MISSING",0)</f>
        <v>B    SHELL</v>
      </c>
      <c r="C107" s="502" t="str">
        <f>_xlfn.XLOOKUP($F107,'Physical Condition Assessment'!$U$10:$U$172,'Physical Condition Assessment'!B$10:B$172,"MISSING",0)</f>
        <v>B30 Roofing</v>
      </c>
      <c r="D107" s="502" t="str">
        <f>_xlfn.XLOOKUP($F107,'Physical Condition Assessment'!$U$10:$U$172,'Physical Condition Assessment'!C$10:C$172,"MISSING",0)</f>
        <v>B3010 Roof Coverings</v>
      </c>
      <c r="E107" s="502" t="str">
        <f>_xlfn.XLOOKUP($F107,'Physical Condition Assessment'!$U$10:$U$172,'Physical Condition Assessment'!D$10:D$172,"MISSING",0)</f>
        <v>Concrete Tile</v>
      </c>
      <c r="F107" s="502" t="s">
        <v>152</v>
      </c>
      <c r="G107" s="502" t="str">
        <f>_xlfn.XLOOKUP($F107,'Physical Condition Assessment'!$U$10:$U$172,'Physical Condition Assessment'!V$10:V$172,"MISSING",0)</f>
        <v>Roofing</v>
      </c>
      <c r="H107" s="471">
        <f>_xlfn.XLOOKUP($F107,'Physical Condition Assessment'!$U$10:$U$172,'Physical Condition Assessment'!S$10:S$172,"MISSING",0)</f>
        <v>0</v>
      </c>
      <c r="I107" s="471">
        <f>_xlfn.XLOOKUP($F107,'Physical Condition Assessment'!$U$10:$U$172,'Physical Condition Assessment'!AP$10:AP$172,"MISSING",0)</f>
        <v>0</v>
      </c>
      <c r="J107" s="525" t="e">
        <f t="shared" si="10"/>
        <v>#DIV/0!</v>
      </c>
      <c r="K107" s="471">
        <f ca="1">_xlfn.XLOOKUP($F107,'Physical Condition Assessment'!$U$10:$U$172,'Physical Condition Assessment'!AV$10:AV$172,"MISSING",0)</f>
        <v>0</v>
      </c>
      <c r="L107" s="471">
        <f ca="1">_xlfn.XLOOKUP($F107,'Physical Condition Assessment'!$U$10:$U$172,'Physical Condition Assessment'!AW$10:AW$172,"MISSING",0)</f>
        <v>0</v>
      </c>
      <c r="M107" s="471">
        <f ca="1">_xlfn.XLOOKUP($F107,'Physical Condition Assessment'!$U$10:$U$172,'Physical Condition Assessment'!AX$10:AX$172,"MISSING",0)</f>
        <v>0</v>
      </c>
      <c r="N107" s="471">
        <f ca="1">_xlfn.XLOOKUP($F107,'Physical Condition Assessment'!$U$10:$U$172,'Physical Condition Assessment'!AY$10:AY$172,"MISSING",0)</f>
        <v>0</v>
      </c>
    </row>
    <row r="108" spans="1:14" x14ac:dyDescent="0.2">
      <c r="A108" s="502">
        <f>'Base Information Sheet'!$B$5</f>
        <v>0</v>
      </c>
      <c r="B108" s="502" t="str">
        <f>_xlfn.XLOOKUP($F108,'Physical Condition Assessment'!$U$10:$U$172,'Physical Condition Assessment'!A$10:A$172,"MISSING",0)</f>
        <v>B    SHELL</v>
      </c>
      <c r="C108" s="502" t="str">
        <f>_xlfn.XLOOKUP($F108,'Physical Condition Assessment'!$U$10:$U$172,'Physical Condition Assessment'!B$10:B$172,"MISSING",0)</f>
        <v>B30 Roofing</v>
      </c>
      <c r="D108" s="502" t="str">
        <f>_xlfn.XLOOKUP($F108,'Physical Condition Assessment'!$U$10:$U$172,'Physical Condition Assessment'!C$10:C$172,"MISSING",0)</f>
        <v>B3010 Roof Coverings</v>
      </c>
      <c r="E108" s="502" t="str">
        <f>_xlfn.XLOOKUP($F108,'Physical Condition Assessment'!$U$10:$U$172,'Physical Condition Assessment'!D$10:D$172,"MISSING",0)</f>
        <v>Gravel</v>
      </c>
      <c r="F108" s="502" t="s">
        <v>142</v>
      </c>
      <c r="G108" s="502" t="str">
        <f>_xlfn.XLOOKUP($F108,'Physical Condition Assessment'!$U$10:$U$172,'Physical Condition Assessment'!V$10:V$172,"MISSING",0)</f>
        <v>Roofing</v>
      </c>
      <c r="H108" s="471">
        <f>_xlfn.XLOOKUP($F108,'Physical Condition Assessment'!$U$10:$U$172,'Physical Condition Assessment'!S$10:S$172,"MISSING",0)</f>
        <v>0</v>
      </c>
      <c r="I108" s="471">
        <f>_xlfn.XLOOKUP($F108,'Physical Condition Assessment'!$U$10:$U$172,'Physical Condition Assessment'!AP$10:AP$172,"MISSING",0)</f>
        <v>0</v>
      </c>
      <c r="J108" s="525" t="e">
        <f t="shared" si="10"/>
        <v>#DIV/0!</v>
      </c>
      <c r="K108" s="471">
        <f ca="1">_xlfn.XLOOKUP($F108,'Physical Condition Assessment'!$U$10:$U$172,'Physical Condition Assessment'!AV$10:AV$172,"MISSING",0)</f>
        <v>0</v>
      </c>
      <c r="L108" s="471">
        <f ca="1">_xlfn.XLOOKUP($F108,'Physical Condition Assessment'!$U$10:$U$172,'Physical Condition Assessment'!AW$10:AW$172,"MISSING",0)</f>
        <v>0</v>
      </c>
      <c r="M108" s="471">
        <f ca="1">_xlfn.XLOOKUP($F108,'Physical Condition Assessment'!$U$10:$U$172,'Physical Condition Assessment'!AX$10:AX$172,"MISSING",0)</f>
        <v>0</v>
      </c>
      <c r="N108" s="471">
        <f ca="1">_xlfn.XLOOKUP($F108,'Physical Condition Assessment'!$U$10:$U$172,'Physical Condition Assessment'!AY$10:AY$172,"MISSING",0)</f>
        <v>0</v>
      </c>
    </row>
    <row r="109" spans="1:14" x14ac:dyDescent="0.2">
      <c r="A109" s="502">
        <f>'Base Information Sheet'!$B$5</f>
        <v>0</v>
      </c>
      <c r="B109" s="502" t="str">
        <f>_xlfn.XLOOKUP($F109,'Physical Condition Assessment'!$U$10:$U$172,'Physical Condition Assessment'!A$10:A$172,"MISSING",0)</f>
        <v>B    SHELL</v>
      </c>
      <c r="C109" s="502" t="str">
        <f>_xlfn.XLOOKUP($F109,'Physical Condition Assessment'!$U$10:$U$172,'Physical Condition Assessment'!B$10:B$172,"MISSING",0)</f>
        <v>B30 Roofing</v>
      </c>
      <c r="D109" s="502" t="str">
        <f>_xlfn.XLOOKUP($F109,'Physical Condition Assessment'!$U$10:$U$172,'Physical Condition Assessment'!C$10:C$172,"MISSING",0)</f>
        <v>B3010 Roof Coverings</v>
      </c>
      <c r="E109" s="502" t="str">
        <f>_xlfn.XLOOKUP($F109,'Physical Condition Assessment'!$U$10:$U$172,'Physical Condition Assessment'!D$10:D$172,"MISSING",0)</f>
        <v>Metal</v>
      </c>
      <c r="F109" s="502" t="s">
        <v>150</v>
      </c>
      <c r="G109" s="502" t="str">
        <f>_xlfn.XLOOKUP($F109,'Physical Condition Assessment'!$U$10:$U$172,'Physical Condition Assessment'!V$10:V$172,"MISSING",0)</f>
        <v>Roofing</v>
      </c>
      <c r="H109" s="471">
        <f>_xlfn.XLOOKUP($F109,'Physical Condition Assessment'!$U$10:$U$172,'Physical Condition Assessment'!S$10:S$172,"MISSING",0)</f>
        <v>0</v>
      </c>
      <c r="I109" s="471">
        <f>_xlfn.XLOOKUP($F109,'Physical Condition Assessment'!$U$10:$U$172,'Physical Condition Assessment'!AP$10:AP$172,"MISSING",0)</f>
        <v>0</v>
      </c>
      <c r="J109" s="525" t="e">
        <f t="shared" si="10"/>
        <v>#DIV/0!</v>
      </c>
      <c r="K109" s="471">
        <f ca="1">_xlfn.XLOOKUP($F109,'Physical Condition Assessment'!$U$10:$U$172,'Physical Condition Assessment'!AV$10:AV$172,"MISSING",0)</f>
        <v>0</v>
      </c>
      <c r="L109" s="471">
        <f ca="1">_xlfn.XLOOKUP($F109,'Physical Condition Assessment'!$U$10:$U$172,'Physical Condition Assessment'!AW$10:AW$172,"MISSING",0)</f>
        <v>0</v>
      </c>
      <c r="M109" s="471">
        <f ca="1">_xlfn.XLOOKUP($F109,'Physical Condition Assessment'!$U$10:$U$172,'Physical Condition Assessment'!AX$10:AX$172,"MISSING",0)</f>
        <v>0</v>
      </c>
      <c r="N109" s="471">
        <f ca="1">_xlfn.XLOOKUP($F109,'Physical Condition Assessment'!$U$10:$U$172,'Physical Condition Assessment'!AY$10:AY$172,"MISSING",0)</f>
        <v>0</v>
      </c>
    </row>
    <row r="110" spans="1:14" x14ac:dyDescent="0.2">
      <c r="A110" s="502">
        <f>'Base Information Sheet'!$B$5</f>
        <v>0</v>
      </c>
      <c r="B110" s="502" t="str">
        <f>_xlfn.XLOOKUP($F110,'Physical Condition Assessment'!$U$10:$U$172,'Physical Condition Assessment'!A$10:A$172,"MISSING",0)</f>
        <v>B    SHELL</v>
      </c>
      <c r="C110" s="502" t="str">
        <f>_xlfn.XLOOKUP($F110,'Physical Condition Assessment'!$U$10:$U$172,'Physical Condition Assessment'!B$10:B$172,"MISSING",0)</f>
        <v>B30 Roofing</v>
      </c>
      <c r="D110" s="502" t="str">
        <f>_xlfn.XLOOKUP($F110,'Physical Condition Assessment'!$U$10:$U$172,'Physical Condition Assessment'!C$10:C$172,"MISSING",0)</f>
        <v>B3010 Roof Coverings</v>
      </c>
      <c r="E110" s="502" t="str">
        <f>_xlfn.XLOOKUP($F110,'Physical Condition Assessment'!$U$10:$U$172,'Physical Condition Assessment'!D$10:D$172,"MISSING",0)</f>
        <v>Modified Bitumen</v>
      </c>
      <c r="F110" s="502" t="s">
        <v>140</v>
      </c>
      <c r="G110" s="502" t="str">
        <f>_xlfn.XLOOKUP($F110,'Physical Condition Assessment'!$U$10:$U$172,'Physical Condition Assessment'!V$10:V$172,"MISSING",0)</f>
        <v>Roofing</v>
      </c>
      <c r="H110" s="471">
        <f>_xlfn.XLOOKUP($F110,'Physical Condition Assessment'!$U$10:$U$172,'Physical Condition Assessment'!S$10:S$172,"MISSING",0)</f>
        <v>0</v>
      </c>
      <c r="I110" s="471">
        <f>_xlfn.XLOOKUP($F110,'Physical Condition Assessment'!$U$10:$U$172,'Physical Condition Assessment'!AP$10:AP$172,"MISSING",0)</f>
        <v>0</v>
      </c>
      <c r="J110" s="525" t="e">
        <f t="shared" si="10"/>
        <v>#DIV/0!</v>
      </c>
      <c r="K110" s="471">
        <f ca="1">_xlfn.XLOOKUP($F110,'Physical Condition Assessment'!$U$10:$U$172,'Physical Condition Assessment'!AV$10:AV$172,"MISSING",0)</f>
        <v>0</v>
      </c>
      <c r="L110" s="471">
        <f ca="1">_xlfn.XLOOKUP($F110,'Physical Condition Assessment'!$U$10:$U$172,'Physical Condition Assessment'!AW$10:AW$172,"MISSING",0)</f>
        <v>0</v>
      </c>
      <c r="M110" s="471">
        <f ca="1">_xlfn.XLOOKUP($F110,'Physical Condition Assessment'!$U$10:$U$172,'Physical Condition Assessment'!AX$10:AX$172,"MISSING",0)</f>
        <v>0</v>
      </c>
      <c r="N110" s="471">
        <f ca="1">_xlfn.XLOOKUP($F110,'Physical Condition Assessment'!$U$10:$U$172,'Physical Condition Assessment'!AY$10:AY$172,"MISSING",0)</f>
        <v>0</v>
      </c>
    </row>
    <row r="111" spans="1:14" x14ac:dyDescent="0.2">
      <c r="A111" s="502">
        <f>'Base Information Sheet'!$B$5</f>
        <v>0</v>
      </c>
      <c r="B111" s="502" t="str">
        <f>_xlfn.XLOOKUP($F111,'Physical Condition Assessment'!$U$10:$U$172,'Physical Condition Assessment'!A$10:A$172,"MISSING",0)</f>
        <v>B    SHELL</v>
      </c>
      <c r="C111" s="502" t="str">
        <f>_xlfn.XLOOKUP($F111,'Physical Condition Assessment'!$U$10:$U$172,'Physical Condition Assessment'!B$10:B$172,"MISSING",0)</f>
        <v>B30 Roofing</v>
      </c>
      <c r="D111" s="502" t="str">
        <f>_xlfn.XLOOKUP($F111,'Physical Condition Assessment'!$U$10:$U$172,'Physical Condition Assessment'!C$10:C$172,"MISSING",0)</f>
        <v>B3010 Roof Coverings</v>
      </c>
      <c r="E111" s="502" t="str">
        <f>_xlfn.XLOOKUP($F111,'Physical Condition Assessment'!$U$10:$U$172,'Physical Condition Assessment'!D$10:D$172,"MISSING",0)</f>
        <v>Single Ply</v>
      </c>
      <c r="F111" s="502" t="s">
        <v>148</v>
      </c>
      <c r="G111" s="502" t="str">
        <f>_xlfn.XLOOKUP($F111,'Physical Condition Assessment'!$U$10:$U$172,'Physical Condition Assessment'!V$10:V$172,"MISSING",0)</f>
        <v>Roofing</v>
      </c>
      <c r="H111" s="471">
        <f>_xlfn.XLOOKUP($F111,'Physical Condition Assessment'!$U$10:$U$172,'Physical Condition Assessment'!S$10:S$172,"MISSING",0)</f>
        <v>0</v>
      </c>
      <c r="I111" s="471">
        <f>_xlfn.XLOOKUP($F111,'Physical Condition Assessment'!$U$10:$U$172,'Physical Condition Assessment'!AP$10:AP$172,"MISSING",0)</f>
        <v>0</v>
      </c>
      <c r="J111" s="525" t="e">
        <f t="shared" si="10"/>
        <v>#DIV/0!</v>
      </c>
      <c r="K111" s="471">
        <f ca="1">_xlfn.XLOOKUP($F111,'Physical Condition Assessment'!$U$10:$U$172,'Physical Condition Assessment'!AV$10:AV$172,"MISSING",0)</f>
        <v>0</v>
      </c>
      <c r="L111" s="471">
        <f ca="1">_xlfn.XLOOKUP($F111,'Physical Condition Assessment'!$U$10:$U$172,'Physical Condition Assessment'!AW$10:AW$172,"MISSING",0)</f>
        <v>0</v>
      </c>
      <c r="M111" s="471">
        <f ca="1">_xlfn.XLOOKUP($F111,'Physical Condition Assessment'!$U$10:$U$172,'Physical Condition Assessment'!AX$10:AX$172,"MISSING",0)</f>
        <v>0</v>
      </c>
      <c r="N111" s="471">
        <f ca="1">_xlfn.XLOOKUP($F111,'Physical Condition Assessment'!$U$10:$U$172,'Physical Condition Assessment'!AY$10:AY$172,"MISSING",0)</f>
        <v>0</v>
      </c>
    </row>
    <row r="112" spans="1:14" x14ac:dyDescent="0.2">
      <c r="A112" s="502">
        <f>'Base Information Sheet'!$B$5</f>
        <v>0</v>
      </c>
      <c r="B112" s="502" t="str">
        <f>_xlfn.XLOOKUP($F112,'Physical Condition Assessment'!$U$10:$U$172,'Physical Condition Assessment'!A$10:A$172,"MISSING",0)</f>
        <v>B    SHELL</v>
      </c>
      <c r="C112" s="502" t="str">
        <f>_xlfn.XLOOKUP($F112,'Physical Condition Assessment'!$U$10:$U$172,'Physical Condition Assessment'!B$10:B$172,"MISSING",0)</f>
        <v>B30 Roofing</v>
      </c>
      <c r="D112" s="502" t="str">
        <f>_xlfn.XLOOKUP($F112,'Physical Condition Assessment'!$U$10:$U$172,'Physical Condition Assessment'!C$10:C$172,"MISSING",0)</f>
        <v>B3010 Roof Coverings</v>
      </c>
      <c r="E112" s="502" t="str">
        <f>_xlfn.XLOOKUP($F112,'Physical Condition Assessment'!$U$10:$U$172,'Physical Condition Assessment'!D$10:D$172,"MISSING",0)</f>
        <v>Spanish Tile</v>
      </c>
      <c r="F112" s="502" t="s">
        <v>144</v>
      </c>
      <c r="G112" s="502" t="str">
        <f>_xlfn.XLOOKUP($F112,'Physical Condition Assessment'!$U$10:$U$172,'Physical Condition Assessment'!V$10:V$172,"MISSING",0)</f>
        <v>Roofing</v>
      </c>
      <c r="H112" s="471">
        <f>_xlfn.XLOOKUP($F112,'Physical Condition Assessment'!$U$10:$U$172,'Physical Condition Assessment'!S$10:S$172,"MISSING",0)</f>
        <v>0</v>
      </c>
      <c r="I112" s="471">
        <f>_xlfn.XLOOKUP($F112,'Physical Condition Assessment'!$U$10:$U$172,'Physical Condition Assessment'!AP$10:AP$172,"MISSING",0)</f>
        <v>0</v>
      </c>
      <c r="J112" s="525" t="e">
        <f t="shared" si="10"/>
        <v>#DIV/0!</v>
      </c>
      <c r="K112" s="471">
        <f ca="1">_xlfn.XLOOKUP($F112,'Physical Condition Assessment'!$U$10:$U$172,'Physical Condition Assessment'!AV$10:AV$172,"MISSING",0)</f>
        <v>0</v>
      </c>
      <c r="L112" s="471">
        <f ca="1">_xlfn.XLOOKUP($F112,'Physical Condition Assessment'!$U$10:$U$172,'Physical Condition Assessment'!AW$10:AW$172,"MISSING",0)</f>
        <v>0</v>
      </c>
      <c r="M112" s="471">
        <f ca="1">_xlfn.XLOOKUP($F112,'Physical Condition Assessment'!$U$10:$U$172,'Physical Condition Assessment'!AX$10:AX$172,"MISSING",0)</f>
        <v>0</v>
      </c>
      <c r="N112" s="471">
        <f ca="1">_xlfn.XLOOKUP($F112,'Physical Condition Assessment'!$U$10:$U$172,'Physical Condition Assessment'!AY$10:AY$172,"MISSING",0)</f>
        <v>0</v>
      </c>
    </row>
    <row r="113" spans="1:14" x14ac:dyDescent="0.2">
      <c r="A113" s="502">
        <f>'Base Information Sheet'!$B$5</f>
        <v>0</v>
      </c>
      <c r="B113" s="502" t="str">
        <f>_xlfn.XLOOKUP($F113,'Physical Condition Assessment'!$U$10:$U$172,'Physical Condition Assessment'!A$10:A$172,"MISSING",0)</f>
        <v>B    SHELL</v>
      </c>
      <c r="C113" s="502" t="str">
        <f>_xlfn.XLOOKUP($F113,'Physical Condition Assessment'!$U$10:$U$172,'Physical Condition Assessment'!B$10:B$172,"MISSING",0)</f>
        <v>B30 Roofing</v>
      </c>
      <c r="D113" s="502" t="str">
        <f>_xlfn.XLOOKUP($F113,'Physical Condition Assessment'!$U$10:$U$172,'Physical Condition Assessment'!C$10:C$172,"MISSING",0)</f>
        <v>B3020 Roof Openings</v>
      </c>
      <c r="E113" s="502" t="str">
        <f>_xlfn.XLOOKUP($F113,'Physical Condition Assessment'!$U$10:$U$172,'Physical Condition Assessment'!D$10:D$172,"MISSING",0)</f>
        <v>Access Hatch</v>
      </c>
      <c r="F113" s="502" t="s">
        <v>157</v>
      </c>
      <c r="G113" s="502" t="str">
        <f>_xlfn.XLOOKUP($F113,'Physical Condition Assessment'!$U$10:$U$172,'Physical Condition Assessment'!V$10:V$172,"MISSING",0)</f>
        <v>Roofing</v>
      </c>
      <c r="H113" s="471">
        <f>_xlfn.XLOOKUP($F113,'Physical Condition Assessment'!$U$10:$U$172,'Physical Condition Assessment'!S$10:S$172,"MISSING",0)</f>
        <v>0</v>
      </c>
      <c r="I113" s="471">
        <f>_xlfn.XLOOKUP($F113,'Physical Condition Assessment'!$U$10:$U$172,'Physical Condition Assessment'!AP$10:AP$172,"MISSING",0)</f>
        <v>0</v>
      </c>
      <c r="J113" s="525" t="e">
        <f t="shared" si="10"/>
        <v>#DIV/0!</v>
      </c>
      <c r="K113" s="471">
        <f ca="1">_xlfn.XLOOKUP($F113,'Physical Condition Assessment'!$U$10:$U$172,'Physical Condition Assessment'!AV$10:AV$172,"MISSING",0)</f>
        <v>0</v>
      </c>
      <c r="L113" s="471">
        <f ca="1">_xlfn.XLOOKUP($F113,'Physical Condition Assessment'!$U$10:$U$172,'Physical Condition Assessment'!AW$10:AW$172,"MISSING",0)</f>
        <v>0</v>
      </c>
      <c r="M113" s="471">
        <f ca="1">_xlfn.XLOOKUP($F113,'Physical Condition Assessment'!$U$10:$U$172,'Physical Condition Assessment'!AX$10:AX$172,"MISSING",0)</f>
        <v>0</v>
      </c>
      <c r="N113" s="471">
        <f ca="1">_xlfn.XLOOKUP($F113,'Physical Condition Assessment'!$U$10:$U$172,'Physical Condition Assessment'!AY$10:AY$172,"MISSING",0)</f>
        <v>0</v>
      </c>
    </row>
    <row r="114" spans="1:14" x14ac:dyDescent="0.2">
      <c r="A114" s="502">
        <f>'Base Information Sheet'!$B$5</f>
        <v>0</v>
      </c>
      <c r="B114" s="502" t="str">
        <f>_xlfn.XLOOKUP($F114,'Physical Condition Assessment'!$U$10:$U$172,'Physical Condition Assessment'!A$10:A$172,"MISSING",0)</f>
        <v>B    SHELL</v>
      </c>
      <c r="C114" s="502" t="str">
        <f>_xlfn.XLOOKUP($F114,'Physical Condition Assessment'!$U$10:$U$172,'Physical Condition Assessment'!B$10:B$172,"MISSING",0)</f>
        <v>B30 Roofing</v>
      </c>
      <c r="D114" s="502" t="str">
        <f>_xlfn.XLOOKUP($F114,'Physical Condition Assessment'!$U$10:$U$172,'Physical Condition Assessment'!C$10:C$172,"MISSING",0)</f>
        <v>B3020 Roof Openings</v>
      </c>
      <c r="E114" s="502" t="str">
        <f>_xlfn.XLOOKUP($F114,'Physical Condition Assessment'!$U$10:$U$172,'Physical Condition Assessment'!D$10:D$172,"MISSING",0)</f>
        <v>Skylights</v>
      </c>
      <c r="F114" s="502" t="s">
        <v>155</v>
      </c>
      <c r="G114" s="502" t="str">
        <f>_xlfn.XLOOKUP($F114,'Physical Condition Assessment'!$U$10:$U$172,'Physical Condition Assessment'!V$10:V$172,"MISSING",0)</f>
        <v>Roofing</v>
      </c>
      <c r="H114" s="471">
        <f>_xlfn.XLOOKUP($F114,'Physical Condition Assessment'!$U$10:$U$172,'Physical Condition Assessment'!S$10:S$172,"MISSING",0)</f>
        <v>0</v>
      </c>
      <c r="I114" s="471">
        <f>_xlfn.XLOOKUP($F114,'Physical Condition Assessment'!$U$10:$U$172,'Physical Condition Assessment'!AP$10:AP$172,"MISSING",0)</f>
        <v>0</v>
      </c>
      <c r="J114" s="525" t="e">
        <f t="shared" si="10"/>
        <v>#DIV/0!</v>
      </c>
      <c r="K114" s="471">
        <f ca="1">_xlfn.XLOOKUP($F114,'Physical Condition Assessment'!$U$10:$U$172,'Physical Condition Assessment'!AV$10:AV$172,"MISSING",0)</f>
        <v>0</v>
      </c>
      <c r="L114" s="471">
        <f ca="1">_xlfn.XLOOKUP($F114,'Physical Condition Assessment'!$U$10:$U$172,'Physical Condition Assessment'!AW$10:AW$172,"MISSING",0)</f>
        <v>0</v>
      </c>
      <c r="M114" s="471">
        <f ca="1">_xlfn.XLOOKUP($F114,'Physical Condition Assessment'!$U$10:$U$172,'Physical Condition Assessment'!AX$10:AX$172,"MISSING",0)</f>
        <v>0</v>
      </c>
      <c r="N114" s="471">
        <f ca="1">_xlfn.XLOOKUP($F114,'Physical Condition Assessment'!$U$10:$U$172,'Physical Condition Assessment'!AY$10:AY$172,"MISSING",0)</f>
        <v>0</v>
      </c>
    </row>
    <row r="115" spans="1:14" x14ac:dyDescent="0.2">
      <c r="A115" s="502">
        <f>'Base Information Sheet'!$B$5</f>
        <v>0</v>
      </c>
      <c r="B115" s="502" t="str">
        <f>_xlfn.XLOOKUP($F115,'Physical Condition Assessment'!$U$10:$U$172,'Physical Condition Assessment'!A$10:A$172,"MISSING",0)</f>
        <v>D    SERVICES</v>
      </c>
      <c r="C115" s="502" t="str">
        <f>_xlfn.XLOOKUP($F115,'Physical Condition Assessment'!$U$10:$U$172,'Physical Condition Assessment'!B$10:B$172,"MISSING",0)</f>
        <v>D40 Fire Protection</v>
      </c>
      <c r="D115" s="502" t="str">
        <f>_xlfn.XLOOKUP($F115,'Physical Condition Assessment'!$U$10:$U$172,'Physical Condition Assessment'!C$10:C$172,"MISSING",0)</f>
        <v>D4030 Fire Protection Specialties</v>
      </c>
      <c r="E115" s="502">
        <f>_xlfn.XLOOKUP($F115,'Physical Condition Assessment'!$U$10:$U$172,'Physical Condition Assessment'!D$10:D$172,"MISSING",0)</f>
        <v>0</v>
      </c>
      <c r="F115" s="502" t="s">
        <v>297</v>
      </c>
      <c r="G115" s="502" t="str">
        <f>_xlfn.XLOOKUP($F115,'Physical Condition Assessment'!$U$10:$U$172,'Physical Condition Assessment'!V$10:V$172,"MISSING",0)</f>
        <v>Safety/Security</v>
      </c>
      <c r="H115" s="471">
        <f>_xlfn.XLOOKUP($F115,'Physical Condition Assessment'!$U$10:$U$172,'Physical Condition Assessment'!S$10:S$172,"MISSING",0)</f>
        <v>0</v>
      </c>
      <c r="I115" s="471">
        <f>_xlfn.XLOOKUP($F115,'Physical Condition Assessment'!$U$10:$U$172,'Physical Condition Assessment'!AP$10:AP$172,"MISSING",0)</f>
        <v>0</v>
      </c>
      <c r="J115" s="525" t="e">
        <f t="shared" si="10"/>
        <v>#DIV/0!</v>
      </c>
      <c r="K115" s="471">
        <f ca="1">_xlfn.XLOOKUP($F115,'Physical Condition Assessment'!$U$10:$U$172,'Physical Condition Assessment'!AV$10:AV$172,"MISSING",0)</f>
        <v>0</v>
      </c>
      <c r="L115" s="471">
        <f ca="1">_xlfn.XLOOKUP($F115,'Physical Condition Assessment'!$U$10:$U$172,'Physical Condition Assessment'!AW$10:AW$172,"MISSING",0)</f>
        <v>0</v>
      </c>
      <c r="M115" s="471">
        <f ca="1">_xlfn.XLOOKUP($F115,'Physical Condition Assessment'!$U$10:$U$172,'Physical Condition Assessment'!AX$10:AX$172,"MISSING",0)</f>
        <v>0</v>
      </c>
      <c r="N115" s="471">
        <f ca="1">_xlfn.XLOOKUP($F115,'Physical Condition Assessment'!$U$10:$U$172,'Physical Condition Assessment'!AY$10:AY$172,"MISSING",0)</f>
        <v>0</v>
      </c>
    </row>
    <row r="116" spans="1:14" x14ac:dyDescent="0.2">
      <c r="A116" s="502">
        <f>'Base Information Sheet'!$B$5</f>
        <v>0</v>
      </c>
      <c r="B116" s="502" t="str">
        <f>_xlfn.XLOOKUP($F116,'Physical Condition Assessment'!$U$10:$U$172,'Physical Condition Assessment'!A$10:A$172,"MISSING",0)</f>
        <v>D    SERVICES</v>
      </c>
      <c r="C116" s="502" t="str">
        <f>_xlfn.XLOOKUP($F116,'Physical Condition Assessment'!$U$10:$U$172,'Physical Condition Assessment'!B$10:B$172,"MISSING",0)</f>
        <v>D50 Electrical</v>
      </c>
      <c r="D116" s="502" t="str">
        <f>_xlfn.XLOOKUP($F116,'Physical Condition Assessment'!$U$10:$U$172,'Physical Condition Assessment'!C$10:C$172,"MISSING",0)</f>
        <v>D5030 Communications &amp; Security</v>
      </c>
      <c r="E116" s="502" t="str">
        <f>_xlfn.XLOOKUP($F116,'Physical Condition Assessment'!$U$10:$U$172,'Physical Condition Assessment'!D$10:D$172,"MISSING",0)</f>
        <v>Access Control System</v>
      </c>
      <c r="F116" s="502" t="s">
        <v>313</v>
      </c>
      <c r="G116" s="502" t="str">
        <f>_xlfn.XLOOKUP($F116,'Physical Condition Assessment'!$U$10:$U$172,'Physical Condition Assessment'!V$10:V$172,"MISSING",0)</f>
        <v>Electrical</v>
      </c>
      <c r="H116" s="471">
        <f>_xlfn.XLOOKUP($F116,'Physical Condition Assessment'!$U$10:$U$172,'Physical Condition Assessment'!S$10:S$172,"MISSING",0)</f>
        <v>0</v>
      </c>
      <c r="I116" s="471">
        <f>_xlfn.XLOOKUP($F116,'Physical Condition Assessment'!$U$10:$U$172,'Physical Condition Assessment'!AP$10:AP$172,"MISSING",0)</f>
        <v>0</v>
      </c>
      <c r="J116" s="525" t="e">
        <f t="shared" si="10"/>
        <v>#DIV/0!</v>
      </c>
      <c r="K116" s="471">
        <f ca="1">_xlfn.XLOOKUP($F116,'Physical Condition Assessment'!$U$10:$U$172,'Physical Condition Assessment'!AV$10:AV$172,"MISSING",0)</f>
        <v>0</v>
      </c>
      <c r="L116" s="471">
        <f ca="1">_xlfn.XLOOKUP($F116,'Physical Condition Assessment'!$U$10:$U$172,'Physical Condition Assessment'!AW$10:AW$172,"MISSING",0)</f>
        <v>0</v>
      </c>
      <c r="M116" s="471">
        <f ca="1">_xlfn.XLOOKUP($F116,'Physical Condition Assessment'!$U$10:$U$172,'Physical Condition Assessment'!AX$10:AX$172,"MISSING",0)</f>
        <v>0</v>
      </c>
      <c r="N116" s="471">
        <f ca="1">_xlfn.XLOOKUP($F116,'Physical Condition Assessment'!$U$10:$U$172,'Physical Condition Assessment'!AY$10:AY$172,"MISSING",0)</f>
        <v>0</v>
      </c>
    </row>
    <row r="117" spans="1:14" x14ac:dyDescent="0.2">
      <c r="A117" s="502">
        <f>'Base Information Sheet'!$B$5</f>
        <v>0</v>
      </c>
      <c r="B117" s="502" t="str">
        <f>_xlfn.XLOOKUP($F117,'Physical Condition Assessment'!$U$10:$U$172,'Physical Condition Assessment'!A$10:A$172,"MISSING",0)</f>
        <v>D    SERVICES</v>
      </c>
      <c r="C117" s="502" t="str">
        <f>_xlfn.XLOOKUP($F117,'Physical Condition Assessment'!$U$10:$U$172,'Physical Condition Assessment'!B$10:B$172,"MISSING",0)</f>
        <v>D50 Electrical</v>
      </c>
      <c r="D117" s="502" t="str">
        <f>_xlfn.XLOOKUP($F117,'Physical Condition Assessment'!$U$10:$U$172,'Physical Condition Assessment'!C$10:C$172,"MISSING",0)</f>
        <v>D5030 Communications &amp; Security</v>
      </c>
      <c r="E117" s="502" t="str">
        <f>_xlfn.XLOOKUP($F117,'Physical Condition Assessment'!$U$10:$U$172,'Physical Condition Assessment'!D$10:D$172,"MISSING",0)</f>
        <v>Clock / Intercom System</v>
      </c>
      <c r="F117" s="502" t="s">
        <v>309</v>
      </c>
      <c r="G117" s="502" t="str">
        <f>_xlfn.XLOOKUP($F117,'Physical Condition Assessment'!$U$10:$U$172,'Physical Condition Assessment'!V$10:V$172,"MISSING",0)</f>
        <v>Electrical</v>
      </c>
      <c r="H117" s="471">
        <f>_xlfn.XLOOKUP($F117,'Physical Condition Assessment'!$U$10:$U$172,'Physical Condition Assessment'!S$10:S$172,"MISSING",0)</f>
        <v>0</v>
      </c>
      <c r="I117" s="471">
        <f>_xlfn.XLOOKUP($F117,'Physical Condition Assessment'!$U$10:$U$172,'Physical Condition Assessment'!AP$10:AP$172,"MISSING",0)</f>
        <v>0</v>
      </c>
      <c r="J117" s="525" t="e">
        <f t="shared" si="10"/>
        <v>#DIV/0!</v>
      </c>
      <c r="K117" s="471">
        <f ca="1">_xlfn.XLOOKUP($F117,'Physical Condition Assessment'!$U$10:$U$172,'Physical Condition Assessment'!AV$10:AV$172,"MISSING",0)</f>
        <v>0</v>
      </c>
      <c r="L117" s="471">
        <f ca="1">_xlfn.XLOOKUP($F117,'Physical Condition Assessment'!$U$10:$U$172,'Physical Condition Assessment'!AW$10:AW$172,"MISSING",0)</f>
        <v>0</v>
      </c>
      <c r="M117" s="471">
        <f ca="1">_xlfn.XLOOKUP($F117,'Physical Condition Assessment'!$U$10:$U$172,'Physical Condition Assessment'!AX$10:AX$172,"MISSING",0)</f>
        <v>0</v>
      </c>
      <c r="N117" s="471">
        <f ca="1">_xlfn.XLOOKUP($F117,'Physical Condition Assessment'!$U$10:$U$172,'Physical Condition Assessment'!AY$10:AY$172,"MISSING",0)</f>
        <v>0</v>
      </c>
    </row>
    <row r="118" spans="1:14" x14ac:dyDescent="0.2">
      <c r="A118" s="502">
        <f>'Base Information Sheet'!$B$5</f>
        <v>0</v>
      </c>
      <c r="B118" s="502" t="str">
        <f>_xlfn.XLOOKUP($F118,'Physical Condition Assessment'!$U$10:$U$172,'Physical Condition Assessment'!A$10:A$172,"MISSING",0)</f>
        <v>D    SERVICES</v>
      </c>
      <c r="C118" s="502" t="str">
        <f>_xlfn.XLOOKUP($F118,'Physical Condition Assessment'!$U$10:$U$172,'Physical Condition Assessment'!B$10:B$172,"MISSING",0)</f>
        <v>D50 Electrical</v>
      </c>
      <c r="D118" s="502" t="str">
        <f>_xlfn.XLOOKUP($F118,'Physical Condition Assessment'!$U$10:$U$172,'Physical Condition Assessment'!C$10:C$172,"MISSING",0)</f>
        <v>D5030 Communications &amp; Security</v>
      </c>
      <c r="E118" s="502" t="str">
        <f>_xlfn.XLOOKUP($F118,'Physical Condition Assessment'!$U$10:$U$172,'Physical Condition Assessment'!D$10:D$172,"MISSING",0)</f>
        <v>Closed Circuit Surveillance</v>
      </c>
      <c r="F118" s="502" t="s">
        <v>311</v>
      </c>
      <c r="G118" s="502" t="str">
        <f>_xlfn.XLOOKUP($F118,'Physical Condition Assessment'!$U$10:$U$172,'Physical Condition Assessment'!V$10:V$172,"MISSING",0)</f>
        <v>Electrical</v>
      </c>
      <c r="H118" s="471">
        <f>_xlfn.XLOOKUP($F118,'Physical Condition Assessment'!$U$10:$U$172,'Physical Condition Assessment'!S$10:S$172,"MISSING",0)</f>
        <v>0</v>
      </c>
      <c r="I118" s="471">
        <f>_xlfn.XLOOKUP($F118,'Physical Condition Assessment'!$U$10:$U$172,'Physical Condition Assessment'!AP$10:AP$172,"MISSING",0)</f>
        <v>0</v>
      </c>
      <c r="J118" s="525" t="e">
        <f t="shared" si="10"/>
        <v>#DIV/0!</v>
      </c>
      <c r="K118" s="471">
        <f ca="1">_xlfn.XLOOKUP($F118,'Physical Condition Assessment'!$U$10:$U$172,'Physical Condition Assessment'!AV$10:AV$172,"MISSING",0)</f>
        <v>0</v>
      </c>
      <c r="L118" s="471">
        <f ca="1">_xlfn.XLOOKUP($F118,'Physical Condition Assessment'!$U$10:$U$172,'Physical Condition Assessment'!AW$10:AW$172,"MISSING",0)</f>
        <v>0</v>
      </c>
      <c r="M118" s="471">
        <f ca="1">_xlfn.XLOOKUP($F118,'Physical Condition Assessment'!$U$10:$U$172,'Physical Condition Assessment'!AX$10:AX$172,"MISSING",0)</f>
        <v>0</v>
      </c>
      <c r="N118" s="471">
        <f ca="1">_xlfn.XLOOKUP($F118,'Physical Condition Assessment'!$U$10:$U$172,'Physical Condition Assessment'!AY$10:AY$172,"MISSING",0)</f>
        <v>0</v>
      </c>
    </row>
    <row r="119" spans="1:14" x14ac:dyDescent="0.2">
      <c r="A119" s="502">
        <f>'Base Information Sheet'!$B$5</f>
        <v>0</v>
      </c>
      <c r="B119" s="502" t="str">
        <f>_xlfn.XLOOKUP($F119,'Physical Condition Assessment'!$U$10:$U$172,'Physical Condition Assessment'!A$10:A$172,"MISSING",0)</f>
        <v>D    SERVICES</v>
      </c>
      <c r="C119" s="502" t="str">
        <f>_xlfn.XLOOKUP($F119,'Physical Condition Assessment'!$U$10:$U$172,'Physical Condition Assessment'!B$10:B$172,"MISSING",0)</f>
        <v>D50 Electrical</v>
      </c>
      <c r="D119" s="502" t="str">
        <f>_xlfn.XLOOKUP($F119,'Physical Condition Assessment'!$U$10:$U$172,'Physical Condition Assessment'!C$10:C$172,"MISSING",0)</f>
        <v>D5030 Communications &amp; Security</v>
      </c>
      <c r="E119" s="502" t="str">
        <f>_xlfn.XLOOKUP($F119,'Physical Condition Assessment'!$U$10:$U$172,'Physical Condition Assessment'!D$10:D$172,"MISSING",0)</f>
        <v>Fire Alarm / Detection</v>
      </c>
      <c r="F119" s="502" t="s">
        <v>317</v>
      </c>
      <c r="G119" s="502" t="str">
        <f>_xlfn.XLOOKUP($F119,'Physical Condition Assessment'!$U$10:$U$172,'Physical Condition Assessment'!V$10:V$172,"MISSING",0)</f>
        <v>Safety/Security</v>
      </c>
      <c r="H119" s="471">
        <f>_xlfn.XLOOKUP($F119,'Physical Condition Assessment'!$U$10:$U$172,'Physical Condition Assessment'!S$10:S$172,"MISSING",0)</f>
        <v>0</v>
      </c>
      <c r="I119" s="471">
        <f>_xlfn.XLOOKUP($F119,'Physical Condition Assessment'!$U$10:$U$172,'Physical Condition Assessment'!AP$10:AP$172,"MISSING",0)</f>
        <v>0</v>
      </c>
      <c r="J119" s="525" t="e">
        <f t="shared" si="10"/>
        <v>#DIV/0!</v>
      </c>
      <c r="K119" s="471">
        <f ca="1">_xlfn.XLOOKUP($F119,'Physical Condition Assessment'!$U$10:$U$172,'Physical Condition Assessment'!AV$10:AV$172,"MISSING",0)</f>
        <v>0</v>
      </c>
      <c r="L119" s="471">
        <f ca="1">_xlfn.XLOOKUP($F119,'Physical Condition Assessment'!$U$10:$U$172,'Physical Condition Assessment'!AW$10:AW$172,"MISSING",0)</f>
        <v>0</v>
      </c>
      <c r="M119" s="471">
        <f ca="1">_xlfn.XLOOKUP($F119,'Physical Condition Assessment'!$U$10:$U$172,'Physical Condition Assessment'!AX$10:AX$172,"MISSING",0)</f>
        <v>0</v>
      </c>
      <c r="N119" s="471">
        <f ca="1">_xlfn.XLOOKUP($F119,'Physical Condition Assessment'!$U$10:$U$172,'Physical Condition Assessment'!AY$10:AY$172,"MISSING",0)</f>
        <v>0</v>
      </c>
    </row>
    <row r="120" spans="1:14" x14ac:dyDescent="0.2">
      <c r="A120" s="502">
        <f>'Base Information Sheet'!$B$5</f>
        <v>0</v>
      </c>
      <c r="B120" s="502" t="str">
        <f>_xlfn.XLOOKUP($F120,'Physical Condition Assessment'!$U$10:$U$172,'Physical Condition Assessment'!A$10:A$172,"MISSING",0)</f>
        <v>D    SERVICES</v>
      </c>
      <c r="C120" s="502" t="str">
        <f>_xlfn.XLOOKUP($F120,'Physical Condition Assessment'!$U$10:$U$172,'Physical Condition Assessment'!B$10:B$172,"MISSING",0)</f>
        <v>D50 Electrical</v>
      </c>
      <c r="D120" s="502" t="str">
        <f>_xlfn.XLOOKUP($F120,'Physical Condition Assessment'!$U$10:$U$172,'Physical Condition Assessment'!C$10:C$172,"MISSING",0)</f>
        <v>D5030 Communications &amp; Security</v>
      </c>
      <c r="E120" s="502" t="str">
        <f>_xlfn.XLOOKUP($F120,'Physical Condition Assessment'!$U$10:$U$172,'Physical Condition Assessment'!D$10:D$172,"MISSING",0)</f>
        <v>Intrusion Alarm System</v>
      </c>
      <c r="F120" s="502" t="s">
        <v>315</v>
      </c>
      <c r="G120" s="502" t="str">
        <f>_xlfn.XLOOKUP($F120,'Physical Condition Assessment'!$U$10:$U$172,'Physical Condition Assessment'!V$10:V$172,"MISSING",0)</f>
        <v>Electrical</v>
      </c>
      <c r="H120" s="471">
        <f>_xlfn.XLOOKUP($F120,'Physical Condition Assessment'!$U$10:$U$172,'Physical Condition Assessment'!S$10:S$172,"MISSING",0)</f>
        <v>0</v>
      </c>
      <c r="I120" s="471">
        <f>_xlfn.XLOOKUP($F120,'Physical Condition Assessment'!$U$10:$U$172,'Physical Condition Assessment'!AP$10:AP$172,"MISSING",0)</f>
        <v>0</v>
      </c>
      <c r="J120" s="525" t="e">
        <f t="shared" si="10"/>
        <v>#DIV/0!</v>
      </c>
      <c r="K120" s="471">
        <f ca="1">_xlfn.XLOOKUP($F120,'Physical Condition Assessment'!$U$10:$U$172,'Physical Condition Assessment'!AV$10:AV$172,"MISSING",0)</f>
        <v>0</v>
      </c>
      <c r="L120" s="471">
        <f ca="1">_xlfn.XLOOKUP($F120,'Physical Condition Assessment'!$U$10:$U$172,'Physical Condition Assessment'!AW$10:AW$172,"MISSING",0)</f>
        <v>0</v>
      </c>
      <c r="M120" s="471">
        <f ca="1">_xlfn.XLOOKUP($F120,'Physical Condition Assessment'!$U$10:$U$172,'Physical Condition Assessment'!AX$10:AX$172,"MISSING",0)</f>
        <v>0</v>
      </c>
      <c r="N120" s="471">
        <f ca="1">_xlfn.XLOOKUP($F120,'Physical Condition Assessment'!$U$10:$U$172,'Physical Condition Assessment'!AY$10:AY$172,"MISSING",0)</f>
        <v>0</v>
      </c>
    </row>
    <row r="121" spans="1:14" x14ac:dyDescent="0.2">
      <c r="A121" s="502">
        <f>'Base Information Sheet'!$B$5</f>
        <v>0</v>
      </c>
      <c r="B121" s="502" t="str">
        <f>_xlfn.XLOOKUP($F121,'Physical Condition Assessment'!$U$10:$U$172,'Physical Condition Assessment'!A$10:A$172,"MISSING",0)</f>
        <v>D    SERVICES</v>
      </c>
      <c r="C121" s="502" t="str">
        <f>_xlfn.XLOOKUP($F121,'Physical Condition Assessment'!$U$10:$U$172,'Physical Condition Assessment'!B$10:B$172,"MISSING",0)</f>
        <v>D50 Electrical</v>
      </c>
      <c r="D121" s="502" t="str">
        <f>_xlfn.XLOOKUP($F121,'Physical Condition Assessment'!$U$10:$U$172,'Physical Condition Assessment'!C$10:C$172,"MISSING",0)</f>
        <v>D5030 Communications &amp; Security</v>
      </c>
      <c r="E121" s="502" t="str">
        <f>_xlfn.XLOOKUP($F121,'Physical Condition Assessment'!$U$10:$U$172,'Physical Condition Assessment'!D$10:D$172,"MISSING",0)</f>
        <v>Lighting Control System</v>
      </c>
      <c r="F121" s="502" t="s">
        <v>319</v>
      </c>
      <c r="G121" s="502" t="str">
        <f>_xlfn.XLOOKUP($F121,'Physical Condition Assessment'!$U$10:$U$172,'Physical Condition Assessment'!V$10:V$172,"MISSING",0)</f>
        <v>Electrical</v>
      </c>
      <c r="H121" s="471">
        <f>_xlfn.XLOOKUP($F121,'Physical Condition Assessment'!$U$10:$U$172,'Physical Condition Assessment'!S$10:S$172,"MISSING",0)</f>
        <v>0</v>
      </c>
      <c r="I121" s="471">
        <f>_xlfn.XLOOKUP($F121,'Physical Condition Assessment'!$U$10:$U$172,'Physical Condition Assessment'!AP$10:AP$172,"MISSING",0)</f>
        <v>0</v>
      </c>
      <c r="J121" s="525" t="e">
        <f t="shared" si="10"/>
        <v>#DIV/0!</v>
      </c>
      <c r="K121" s="471">
        <f ca="1">_xlfn.XLOOKUP($F121,'Physical Condition Assessment'!$U$10:$U$172,'Physical Condition Assessment'!AV$10:AV$172,"MISSING",0)</f>
        <v>0</v>
      </c>
      <c r="L121" s="471">
        <f ca="1">_xlfn.XLOOKUP($F121,'Physical Condition Assessment'!$U$10:$U$172,'Physical Condition Assessment'!AW$10:AW$172,"MISSING",0)</f>
        <v>0</v>
      </c>
      <c r="M121" s="471">
        <f ca="1">_xlfn.XLOOKUP($F121,'Physical Condition Assessment'!$U$10:$U$172,'Physical Condition Assessment'!AX$10:AX$172,"MISSING",0)</f>
        <v>0</v>
      </c>
      <c r="N121" s="471">
        <f ca="1">_xlfn.XLOOKUP($F121,'Physical Condition Assessment'!$U$10:$U$172,'Physical Condition Assessment'!AY$10:AY$172,"MISSING",0)</f>
        <v>0</v>
      </c>
    </row>
    <row r="122" spans="1:14" x14ac:dyDescent="0.2">
      <c r="A122" s="502">
        <f>'Base Information Sheet'!$B$5</f>
        <v>0</v>
      </c>
      <c r="B122" s="502" t="str">
        <f>_xlfn.XLOOKUP($F122,'Physical Condition Assessment'!$U$10:$U$172,'Physical Condition Assessment'!A$10:A$172,"MISSING",0)</f>
        <v>D    SERVICES</v>
      </c>
      <c r="C122" s="502" t="str">
        <f>_xlfn.XLOOKUP($F122,'Physical Condition Assessment'!$U$10:$U$172,'Physical Condition Assessment'!B$10:B$172,"MISSING",0)</f>
        <v>D50 Electrical</v>
      </c>
      <c r="D122" s="502" t="str">
        <f>_xlfn.XLOOKUP($F122,'Physical Condition Assessment'!$U$10:$U$172,'Physical Condition Assessment'!C$10:C$172,"MISSING",0)</f>
        <v>D5030 Communications &amp; Security</v>
      </c>
      <c r="E122" s="502" t="str">
        <f>_xlfn.XLOOKUP($F122,'Physical Condition Assessment'!$U$10:$U$172,'Physical Condition Assessment'!D$10:D$172,"MISSING",0)</f>
        <v>Voice / Data System</v>
      </c>
      <c r="F122" s="502" t="s">
        <v>307</v>
      </c>
      <c r="G122" s="502" t="str">
        <f>_xlfn.XLOOKUP($F122,'Physical Condition Assessment'!$U$10:$U$172,'Physical Condition Assessment'!V$10:V$172,"MISSING",0)</f>
        <v>Electrical</v>
      </c>
      <c r="H122" s="471">
        <f>_xlfn.XLOOKUP($F122,'Physical Condition Assessment'!$U$10:$U$172,'Physical Condition Assessment'!S$10:S$172,"MISSING",0)</f>
        <v>0</v>
      </c>
      <c r="I122" s="471">
        <f>_xlfn.XLOOKUP($F122,'Physical Condition Assessment'!$U$10:$U$172,'Physical Condition Assessment'!AP$10:AP$172,"MISSING",0)</f>
        <v>0</v>
      </c>
      <c r="J122" s="525" t="e">
        <f t="shared" si="10"/>
        <v>#DIV/0!</v>
      </c>
      <c r="K122" s="471">
        <f ca="1">_xlfn.XLOOKUP($F122,'Physical Condition Assessment'!$U$10:$U$172,'Physical Condition Assessment'!AV$10:AV$172,"MISSING",0)</f>
        <v>0</v>
      </c>
      <c r="L122" s="471">
        <f ca="1">_xlfn.XLOOKUP($F122,'Physical Condition Assessment'!$U$10:$U$172,'Physical Condition Assessment'!AW$10:AW$172,"MISSING",0)</f>
        <v>0</v>
      </c>
      <c r="M122" s="471">
        <f ca="1">_xlfn.XLOOKUP($F122,'Physical Condition Assessment'!$U$10:$U$172,'Physical Condition Assessment'!AX$10:AX$172,"MISSING",0)</f>
        <v>0</v>
      </c>
      <c r="N122" s="471">
        <f ca="1">_xlfn.XLOOKUP($F122,'Physical Condition Assessment'!$U$10:$U$172,'Physical Condition Assessment'!AY$10:AY$172,"MISSING",0)</f>
        <v>0</v>
      </c>
    </row>
    <row r="123" spans="1:14" x14ac:dyDescent="0.2">
      <c r="A123" s="502">
        <f>'Base Information Sheet'!$B$5</f>
        <v>0</v>
      </c>
      <c r="B123" s="502" t="str">
        <f>_xlfn.XLOOKUP($F123,'Physical Condition Assessment'!$U$10:$U$172,'Physical Condition Assessment'!A$10:A$172,"MISSING",0)</f>
        <v>G  BUILDING SITE WORK</v>
      </c>
      <c r="C123" s="502" t="str">
        <f>_xlfn.XLOOKUP($F123,'Physical Condition Assessment'!$U$10:$U$172,'Physical Condition Assessment'!B$10:B$172,"MISSING",0)</f>
        <v>G20 Site Improvements</v>
      </c>
      <c r="D123" s="502" t="str">
        <f>_xlfn.XLOOKUP($F123,'Physical Condition Assessment'!$U$10:$U$172,'Physical Condition Assessment'!C$10:C$172,"MISSING",0)</f>
        <v>G2040 Site Development</v>
      </c>
      <c r="E123" s="502">
        <f>_xlfn.XLOOKUP($F123,'Physical Condition Assessment'!$U$10:$U$172,'Physical Condition Assessment'!D$10:D$172,"MISSING",0)</f>
        <v>0</v>
      </c>
      <c r="F123" s="502" t="s">
        <v>357</v>
      </c>
      <c r="G123" s="502" t="str">
        <f>_xlfn.XLOOKUP($F123,'Physical Condition Assessment'!$U$10:$U$172,'Physical Condition Assessment'!V$10:V$172,"MISSING",0)</f>
        <v>Site</v>
      </c>
      <c r="H123" s="471">
        <f>_xlfn.XLOOKUP($F123,'Physical Condition Assessment'!$U$10:$U$172,'Physical Condition Assessment'!S$10:S$172,"MISSING",0)</f>
        <v>0</v>
      </c>
      <c r="I123" s="471">
        <f>_xlfn.XLOOKUP($F123,'Physical Condition Assessment'!$U$10:$U$172,'Physical Condition Assessment'!AP$10:AP$172,"MISSING",0)</f>
        <v>0</v>
      </c>
      <c r="J123" s="525" t="e">
        <f t="shared" si="10"/>
        <v>#DIV/0!</v>
      </c>
      <c r="K123" s="471">
        <f ca="1">_xlfn.XLOOKUP($F123,'Physical Condition Assessment'!$U$10:$U$172,'Physical Condition Assessment'!AV$10:AV$172,"MISSING",0)</f>
        <v>0</v>
      </c>
      <c r="L123" s="471">
        <f ca="1">_xlfn.XLOOKUP($F123,'Physical Condition Assessment'!$U$10:$U$172,'Physical Condition Assessment'!AW$10:AW$172,"MISSING",0)</f>
        <v>0</v>
      </c>
      <c r="M123" s="471">
        <f ca="1">_xlfn.XLOOKUP($F123,'Physical Condition Assessment'!$U$10:$U$172,'Physical Condition Assessment'!AX$10:AX$172,"MISSING",0)</f>
        <v>0</v>
      </c>
      <c r="N123" s="471">
        <f ca="1">_xlfn.XLOOKUP($F123,'Physical Condition Assessment'!$U$10:$U$172,'Physical Condition Assessment'!AY$10:AY$172,"MISSING",0)</f>
        <v>0</v>
      </c>
    </row>
    <row r="124" spans="1:14" x14ac:dyDescent="0.2">
      <c r="A124" s="502">
        <f>'Base Information Sheet'!$B$5</f>
        <v>0</v>
      </c>
      <c r="B124" s="502" t="str">
        <f>_xlfn.XLOOKUP($F124,'Physical Condition Assessment'!$U$10:$U$172,'Physical Condition Assessment'!A$10:A$172,"MISSING",0)</f>
        <v>G  BUILDING SITE WORK</v>
      </c>
      <c r="C124" s="502" t="str">
        <f>_xlfn.XLOOKUP($F124,'Physical Condition Assessment'!$U$10:$U$172,'Physical Condition Assessment'!B$10:B$172,"MISSING",0)</f>
        <v>G20 Site Improvements</v>
      </c>
      <c r="D124" s="502" t="str">
        <f>_xlfn.XLOOKUP($F124,'Physical Condition Assessment'!$U$10:$U$172,'Physical Condition Assessment'!C$10:C$172,"MISSING",0)</f>
        <v>G2050 Landscaping</v>
      </c>
      <c r="E124" s="502">
        <f>_xlfn.XLOOKUP($F124,'Physical Condition Assessment'!$U$10:$U$172,'Physical Condition Assessment'!D$10:D$172,"MISSING",0)</f>
        <v>0</v>
      </c>
      <c r="F124" s="502" t="s">
        <v>360</v>
      </c>
      <c r="G124" s="502" t="str">
        <f>_xlfn.XLOOKUP($F124,'Physical Condition Assessment'!$U$10:$U$172,'Physical Condition Assessment'!V$10:V$172,"MISSING",0)</f>
        <v>Site</v>
      </c>
      <c r="H124" s="471">
        <f>_xlfn.XLOOKUP($F124,'Physical Condition Assessment'!$U$10:$U$172,'Physical Condition Assessment'!S$10:S$172,"MISSING",0)</f>
        <v>0</v>
      </c>
      <c r="I124" s="471">
        <f>_xlfn.XLOOKUP($F124,'Physical Condition Assessment'!$U$10:$U$172,'Physical Condition Assessment'!AP$10:AP$172,"MISSING",0)</f>
        <v>0</v>
      </c>
      <c r="J124" s="525" t="e">
        <f t="shared" si="10"/>
        <v>#DIV/0!</v>
      </c>
      <c r="K124" s="471">
        <f ca="1">_xlfn.XLOOKUP($F124,'Physical Condition Assessment'!$U$10:$U$172,'Physical Condition Assessment'!AV$10:AV$172,"MISSING",0)</f>
        <v>0</v>
      </c>
      <c r="L124" s="471">
        <f ca="1">_xlfn.XLOOKUP($F124,'Physical Condition Assessment'!$U$10:$U$172,'Physical Condition Assessment'!AW$10:AW$172,"MISSING",0)</f>
        <v>0</v>
      </c>
      <c r="M124" s="471">
        <f ca="1">_xlfn.XLOOKUP($F124,'Physical Condition Assessment'!$U$10:$U$172,'Physical Condition Assessment'!AX$10:AX$172,"MISSING",0)</f>
        <v>0</v>
      </c>
      <c r="N124" s="471">
        <f ca="1">_xlfn.XLOOKUP($F124,'Physical Condition Assessment'!$U$10:$U$172,'Physical Condition Assessment'!AY$10:AY$172,"MISSING",0)</f>
        <v>0</v>
      </c>
    </row>
    <row r="125" spans="1:14" x14ac:dyDescent="0.2">
      <c r="A125" s="502">
        <f>'Base Information Sheet'!$B$5</f>
        <v>0</v>
      </c>
      <c r="B125" s="502" t="str">
        <f>_xlfn.XLOOKUP($F125,'Physical Condition Assessment'!$U$10:$U$172,'Physical Condition Assessment'!A$10:A$172,"MISSING",0)</f>
        <v>G  BUILDING SITE WORK</v>
      </c>
      <c r="C125" s="502" t="str">
        <f>_xlfn.XLOOKUP($F125,'Physical Condition Assessment'!$U$10:$U$172,'Physical Condition Assessment'!B$10:B$172,"MISSING",0)</f>
        <v>G30 Site Mechanical Utilities</v>
      </c>
      <c r="D125" s="502" t="str">
        <f>_xlfn.XLOOKUP($F125,'Physical Condition Assessment'!$U$10:$U$172,'Physical Condition Assessment'!C$10:C$172,"MISSING",0)</f>
        <v>G3020 Sanitary Sewer</v>
      </c>
      <c r="E125" s="502">
        <f>_xlfn.XLOOKUP($F125,'Physical Condition Assessment'!$U$10:$U$172,'Physical Condition Assessment'!D$10:D$172,"MISSING",0)</f>
        <v>0</v>
      </c>
      <c r="F125" s="502" t="s">
        <v>368</v>
      </c>
      <c r="G125" s="502" t="str">
        <f>_xlfn.XLOOKUP($F125,'Physical Condition Assessment'!$U$10:$U$172,'Physical Condition Assessment'!V$10:V$172,"MISSING",0)</f>
        <v>Plumbing</v>
      </c>
      <c r="H125" s="471">
        <f>_xlfn.XLOOKUP($F125,'Physical Condition Assessment'!$U$10:$U$172,'Physical Condition Assessment'!S$10:S$172,"MISSING",0)</f>
        <v>0</v>
      </c>
      <c r="I125" s="471">
        <f>_xlfn.XLOOKUP($F125,'Physical Condition Assessment'!$U$10:$U$172,'Physical Condition Assessment'!AP$10:AP$172,"MISSING",0)</f>
        <v>0</v>
      </c>
      <c r="J125" s="525" t="e">
        <f t="shared" si="10"/>
        <v>#DIV/0!</v>
      </c>
      <c r="K125" s="471">
        <f ca="1">_xlfn.XLOOKUP($F125,'Physical Condition Assessment'!$U$10:$U$172,'Physical Condition Assessment'!AV$10:AV$172,"MISSING",0)</f>
        <v>0</v>
      </c>
      <c r="L125" s="471">
        <f ca="1">_xlfn.XLOOKUP($F125,'Physical Condition Assessment'!$U$10:$U$172,'Physical Condition Assessment'!AW$10:AW$172,"MISSING",0)</f>
        <v>0</v>
      </c>
      <c r="M125" s="471">
        <f ca="1">_xlfn.XLOOKUP($F125,'Physical Condition Assessment'!$U$10:$U$172,'Physical Condition Assessment'!AX$10:AX$172,"MISSING",0)</f>
        <v>0</v>
      </c>
      <c r="N125" s="471">
        <f ca="1">_xlfn.XLOOKUP($F125,'Physical Condition Assessment'!$U$10:$U$172,'Physical Condition Assessment'!AY$10:AY$172,"MISSING",0)</f>
        <v>0</v>
      </c>
    </row>
    <row r="126" spans="1:14" x14ac:dyDescent="0.2">
      <c r="A126" s="502">
        <f>'Base Information Sheet'!$B$5</f>
        <v>0</v>
      </c>
      <c r="B126" s="502" t="str">
        <f>_xlfn.XLOOKUP($F126,'Physical Condition Assessment'!$U$10:$U$172,'Physical Condition Assessment'!A$10:A$172,"MISSING",0)</f>
        <v>G  BUILDING SITE WORK</v>
      </c>
      <c r="C126" s="502" t="str">
        <f>_xlfn.XLOOKUP($F126,'Physical Condition Assessment'!$U$10:$U$172,'Physical Condition Assessment'!B$10:B$172,"MISSING",0)</f>
        <v>G30 Site Mechanical Utilities</v>
      </c>
      <c r="D126" s="502" t="str">
        <f>_xlfn.XLOOKUP($F126,'Physical Condition Assessment'!$U$10:$U$172,'Physical Condition Assessment'!C$10:C$172,"MISSING",0)</f>
        <v>G3030 Storm Sewer</v>
      </c>
      <c r="E126" s="502">
        <f>_xlfn.XLOOKUP($F126,'Physical Condition Assessment'!$U$10:$U$172,'Physical Condition Assessment'!D$10:D$172,"MISSING",0)</f>
        <v>0</v>
      </c>
      <c r="F126" s="502" t="s">
        <v>370</v>
      </c>
      <c r="G126" s="502" t="str">
        <f>_xlfn.XLOOKUP($F126,'Physical Condition Assessment'!$U$10:$U$172,'Physical Condition Assessment'!V$10:V$172,"MISSING",0)</f>
        <v>Plumbing</v>
      </c>
      <c r="H126" s="471">
        <f>_xlfn.XLOOKUP($F126,'Physical Condition Assessment'!$U$10:$U$172,'Physical Condition Assessment'!S$10:S$172,"MISSING",0)</f>
        <v>0</v>
      </c>
      <c r="I126" s="471">
        <f>_xlfn.XLOOKUP($F126,'Physical Condition Assessment'!$U$10:$U$172,'Physical Condition Assessment'!AP$10:AP$172,"MISSING",0)</f>
        <v>0</v>
      </c>
      <c r="J126" s="525" t="e">
        <f t="shared" si="10"/>
        <v>#DIV/0!</v>
      </c>
      <c r="K126" s="471">
        <f ca="1">_xlfn.XLOOKUP($F126,'Physical Condition Assessment'!$U$10:$U$172,'Physical Condition Assessment'!AV$10:AV$172,"MISSING",0)</f>
        <v>0</v>
      </c>
      <c r="L126" s="471">
        <f ca="1">_xlfn.XLOOKUP($F126,'Physical Condition Assessment'!$U$10:$U$172,'Physical Condition Assessment'!AW$10:AW$172,"MISSING",0)</f>
        <v>0</v>
      </c>
      <c r="M126" s="471">
        <f ca="1">_xlfn.XLOOKUP($F126,'Physical Condition Assessment'!$U$10:$U$172,'Physical Condition Assessment'!AX$10:AX$172,"MISSING",0)</f>
        <v>0</v>
      </c>
      <c r="N126" s="471">
        <f ca="1">_xlfn.XLOOKUP($F126,'Physical Condition Assessment'!$U$10:$U$172,'Physical Condition Assessment'!AY$10:AY$172,"MISSING",0)</f>
        <v>0</v>
      </c>
    </row>
    <row r="127" spans="1:14" x14ac:dyDescent="0.2">
      <c r="A127" s="502">
        <f>'Base Information Sheet'!$B$5</f>
        <v>0</v>
      </c>
      <c r="B127" s="502" t="str">
        <f>_xlfn.XLOOKUP($F127,'Physical Condition Assessment'!$U$10:$U$172,'Physical Condition Assessment'!A$10:A$172,"MISSING",0)</f>
        <v>G  BUILDING SITE WORK</v>
      </c>
      <c r="C127" s="502" t="str">
        <f>_xlfn.XLOOKUP($F127,'Physical Condition Assessment'!$U$10:$U$172,'Physical Condition Assessment'!B$10:B$172,"MISSING",0)</f>
        <v>G30 Site Mechanical Utilities</v>
      </c>
      <c r="D127" s="502" t="str">
        <f>_xlfn.XLOOKUP($F127,'Physical Condition Assessment'!$U$10:$U$172,'Physical Condition Assessment'!C$10:C$172,"MISSING",0)</f>
        <v>G3040 Heating Distribution</v>
      </c>
      <c r="E127" s="502">
        <f>_xlfn.XLOOKUP($F127,'Physical Condition Assessment'!$U$10:$U$172,'Physical Condition Assessment'!D$10:D$172,"MISSING",0)</f>
        <v>0</v>
      </c>
      <c r="F127" s="502" t="s">
        <v>372</v>
      </c>
      <c r="G127" s="502" t="str">
        <f>_xlfn.XLOOKUP($F127,'Physical Condition Assessment'!$U$10:$U$172,'Physical Condition Assessment'!V$10:V$172,"MISSING",0)</f>
        <v>Plumbing</v>
      </c>
      <c r="H127" s="471">
        <f>_xlfn.XLOOKUP($F127,'Physical Condition Assessment'!$U$10:$U$172,'Physical Condition Assessment'!S$10:S$172,"MISSING",0)</f>
        <v>0</v>
      </c>
      <c r="I127" s="471">
        <f>_xlfn.XLOOKUP($F127,'Physical Condition Assessment'!$U$10:$U$172,'Physical Condition Assessment'!AP$10:AP$172,"MISSING",0)</f>
        <v>0</v>
      </c>
      <c r="J127" s="525" t="e">
        <f t="shared" si="10"/>
        <v>#DIV/0!</v>
      </c>
      <c r="K127" s="471">
        <f ca="1">_xlfn.XLOOKUP($F127,'Physical Condition Assessment'!$U$10:$U$172,'Physical Condition Assessment'!AV$10:AV$172,"MISSING",0)</f>
        <v>0</v>
      </c>
      <c r="L127" s="471">
        <f ca="1">_xlfn.XLOOKUP($F127,'Physical Condition Assessment'!$U$10:$U$172,'Physical Condition Assessment'!AW$10:AW$172,"MISSING",0)</f>
        <v>0</v>
      </c>
      <c r="M127" s="471">
        <f ca="1">_xlfn.XLOOKUP($F127,'Physical Condition Assessment'!$U$10:$U$172,'Physical Condition Assessment'!AX$10:AX$172,"MISSING",0)</f>
        <v>0</v>
      </c>
      <c r="N127" s="471">
        <f ca="1">_xlfn.XLOOKUP($F127,'Physical Condition Assessment'!$U$10:$U$172,'Physical Condition Assessment'!AY$10:AY$172,"MISSING",0)</f>
        <v>0</v>
      </c>
    </row>
    <row r="128" spans="1:14" x14ac:dyDescent="0.2">
      <c r="A128" s="502">
        <f>'Base Information Sheet'!$B$5</f>
        <v>0</v>
      </c>
      <c r="B128" s="502" t="str">
        <f>_xlfn.XLOOKUP($F128,'Physical Condition Assessment'!$U$10:$U$172,'Physical Condition Assessment'!A$10:A$172,"MISSING",0)</f>
        <v>G  BUILDING SITE WORK</v>
      </c>
      <c r="C128" s="502" t="str">
        <f>_xlfn.XLOOKUP($F128,'Physical Condition Assessment'!$U$10:$U$172,'Physical Condition Assessment'!B$10:B$172,"MISSING",0)</f>
        <v>G30 Site Mechanical Utilities</v>
      </c>
      <c r="D128" s="502" t="str">
        <f>_xlfn.XLOOKUP($F128,'Physical Condition Assessment'!$U$10:$U$172,'Physical Condition Assessment'!C$10:C$172,"MISSING",0)</f>
        <v>G3050 Cooling Distribution</v>
      </c>
      <c r="E128" s="502">
        <f>_xlfn.XLOOKUP($F128,'Physical Condition Assessment'!$U$10:$U$172,'Physical Condition Assessment'!D$10:D$172,"MISSING",0)</f>
        <v>0</v>
      </c>
      <c r="F128" s="502" t="s">
        <v>374</v>
      </c>
      <c r="G128" s="502" t="str">
        <f>_xlfn.XLOOKUP($F128,'Physical Condition Assessment'!$U$10:$U$172,'Physical Condition Assessment'!V$10:V$172,"MISSING",0)</f>
        <v>Plumbing</v>
      </c>
      <c r="H128" s="471">
        <f>_xlfn.XLOOKUP($F128,'Physical Condition Assessment'!$U$10:$U$172,'Physical Condition Assessment'!S$10:S$172,"MISSING",0)</f>
        <v>0</v>
      </c>
      <c r="I128" s="471">
        <f>_xlfn.XLOOKUP($F128,'Physical Condition Assessment'!$U$10:$U$172,'Physical Condition Assessment'!AP$10:AP$172,"MISSING",0)</f>
        <v>0</v>
      </c>
      <c r="J128" s="525" t="e">
        <f t="shared" si="10"/>
        <v>#DIV/0!</v>
      </c>
      <c r="K128" s="471">
        <f ca="1">_xlfn.XLOOKUP($F128,'Physical Condition Assessment'!$U$10:$U$172,'Physical Condition Assessment'!AV$10:AV$172,"MISSING",0)</f>
        <v>0</v>
      </c>
      <c r="L128" s="471">
        <f ca="1">_xlfn.XLOOKUP($F128,'Physical Condition Assessment'!$U$10:$U$172,'Physical Condition Assessment'!AW$10:AW$172,"MISSING",0)</f>
        <v>0</v>
      </c>
      <c r="M128" s="471">
        <f ca="1">_xlfn.XLOOKUP($F128,'Physical Condition Assessment'!$U$10:$U$172,'Physical Condition Assessment'!AX$10:AX$172,"MISSING",0)</f>
        <v>0</v>
      </c>
      <c r="N128" s="471">
        <f ca="1">_xlfn.XLOOKUP($F128,'Physical Condition Assessment'!$U$10:$U$172,'Physical Condition Assessment'!AY$10:AY$172,"MISSING",0)</f>
        <v>0</v>
      </c>
    </row>
    <row r="129" spans="1:14" x14ac:dyDescent="0.2">
      <c r="A129" s="502">
        <f>'Base Information Sheet'!$B$5</f>
        <v>0</v>
      </c>
      <c r="B129" s="502" t="str">
        <f>_xlfn.XLOOKUP($F129,'Physical Condition Assessment'!$U$10:$U$172,'Physical Condition Assessment'!A$10:A$172,"MISSING",0)</f>
        <v>G  BUILDING SITE WORK</v>
      </c>
      <c r="C129" s="502" t="str">
        <f>_xlfn.XLOOKUP($F129,'Physical Condition Assessment'!$U$10:$U$172,'Physical Condition Assessment'!B$10:B$172,"MISSING",0)</f>
        <v>G30 Site Mechanical Utilities</v>
      </c>
      <c r="D129" s="502" t="str">
        <f>_xlfn.XLOOKUP($F129,'Physical Condition Assessment'!$U$10:$U$172,'Physical Condition Assessment'!C$10:C$172,"MISSING",0)</f>
        <v>G3060 Fuel Distribution</v>
      </c>
      <c r="E129" s="502">
        <f>_xlfn.XLOOKUP($F129,'Physical Condition Assessment'!$U$10:$U$172,'Physical Condition Assessment'!D$10:D$172,"MISSING",0)</f>
        <v>0</v>
      </c>
      <c r="F129" s="502" t="s">
        <v>376</v>
      </c>
      <c r="G129" s="502" t="str">
        <f>_xlfn.XLOOKUP($F129,'Physical Condition Assessment'!$U$10:$U$172,'Physical Condition Assessment'!V$10:V$172,"MISSING",0)</f>
        <v>Plumbing</v>
      </c>
      <c r="H129" s="471">
        <f>_xlfn.XLOOKUP($F129,'Physical Condition Assessment'!$U$10:$U$172,'Physical Condition Assessment'!S$10:S$172,"MISSING",0)</f>
        <v>0</v>
      </c>
      <c r="I129" s="471">
        <f>_xlfn.XLOOKUP($F129,'Physical Condition Assessment'!$U$10:$U$172,'Physical Condition Assessment'!AP$10:AP$172,"MISSING",0)</f>
        <v>0</v>
      </c>
      <c r="J129" s="525" t="e">
        <f t="shared" si="10"/>
        <v>#DIV/0!</v>
      </c>
      <c r="K129" s="471">
        <f ca="1">_xlfn.XLOOKUP($F129,'Physical Condition Assessment'!$U$10:$U$172,'Physical Condition Assessment'!AV$10:AV$172,"MISSING",0)</f>
        <v>0</v>
      </c>
      <c r="L129" s="471">
        <f ca="1">_xlfn.XLOOKUP($F129,'Physical Condition Assessment'!$U$10:$U$172,'Physical Condition Assessment'!AW$10:AW$172,"MISSING",0)</f>
        <v>0</v>
      </c>
      <c r="M129" s="471">
        <f ca="1">_xlfn.XLOOKUP($F129,'Physical Condition Assessment'!$U$10:$U$172,'Physical Condition Assessment'!AX$10:AX$172,"MISSING",0)</f>
        <v>0</v>
      </c>
      <c r="N129" s="471">
        <f ca="1">_xlfn.XLOOKUP($F129,'Physical Condition Assessment'!$U$10:$U$172,'Physical Condition Assessment'!AY$10:AY$172,"MISSING",0)</f>
        <v>0</v>
      </c>
    </row>
    <row r="130" spans="1:14" x14ac:dyDescent="0.2">
      <c r="A130" s="502">
        <f>'Base Information Sheet'!$B$5</f>
        <v>0</v>
      </c>
      <c r="B130" s="502" t="str">
        <f>_xlfn.XLOOKUP($F130,'Physical Condition Assessment'!$U$10:$U$172,'Physical Condition Assessment'!A$10:A$172,"MISSING",0)</f>
        <v>G  BUILDING SITE WORK</v>
      </c>
      <c r="C130" s="502" t="str">
        <f>_xlfn.XLOOKUP($F130,'Physical Condition Assessment'!$U$10:$U$172,'Physical Condition Assessment'!B$10:B$172,"MISSING",0)</f>
        <v>G40 Site Electrical Utilities</v>
      </c>
      <c r="D130" s="502" t="str">
        <f>_xlfn.XLOOKUP($F130,'Physical Condition Assessment'!$U$10:$U$172,'Physical Condition Assessment'!C$10:C$172,"MISSING",0)</f>
        <v>G4030 Site Communications &amp; Security</v>
      </c>
      <c r="E130" s="502">
        <f>_xlfn.XLOOKUP($F130,'Physical Condition Assessment'!$U$10:$U$172,'Physical Condition Assessment'!D$10:D$172,"MISSING",0)</f>
        <v>0</v>
      </c>
      <c r="F130" s="502" t="s">
        <v>387</v>
      </c>
      <c r="G130" s="502" t="str">
        <f>_xlfn.XLOOKUP($F130,'Physical Condition Assessment'!$U$10:$U$172,'Physical Condition Assessment'!V$10:V$172,"MISSING",0)</f>
        <v>Electrical</v>
      </c>
      <c r="H130" s="471">
        <f>_xlfn.XLOOKUP($F130,'Physical Condition Assessment'!$U$10:$U$172,'Physical Condition Assessment'!S$10:S$172,"MISSING",0)</f>
        <v>0</v>
      </c>
      <c r="I130" s="471">
        <f>_xlfn.XLOOKUP($F130,'Physical Condition Assessment'!$U$10:$U$172,'Physical Condition Assessment'!AP$10:AP$172,"MISSING",0)</f>
        <v>0</v>
      </c>
      <c r="J130" s="525" t="e">
        <f t="shared" si="10"/>
        <v>#DIV/0!</v>
      </c>
      <c r="K130" s="471">
        <f ca="1">_xlfn.XLOOKUP($F130,'Physical Condition Assessment'!$U$10:$U$172,'Physical Condition Assessment'!AV$10:AV$172,"MISSING",0)</f>
        <v>0</v>
      </c>
      <c r="L130" s="471">
        <f ca="1">_xlfn.XLOOKUP($F130,'Physical Condition Assessment'!$U$10:$U$172,'Physical Condition Assessment'!AW$10:AW$172,"MISSING",0)</f>
        <v>0</v>
      </c>
      <c r="M130" s="471">
        <f ca="1">_xlfn.XLOOKUP($F130,'Physical Condition Assessment'!$U$10:$U$172,'Physical Condition Assessment'!AX$10:AX$172,"MISSING",0)</f>
        <v>0</v>
      </c>
      <c r="N130" s="471">
        <f ca="1">_xlfn.XLOOKUP($F130,'Physical Condition Assessment'!$U$10:$U$172,'Physical Condition Assessment'!AY$10:AY$172,"MISSING",0)</f>
        <v>0</v>
      </c>
    </row>
    <row r="131" spans="1:14" x14ac:dyDescent="0.2">
      <c r="K131" s="526"/>
      <c r="L131" s="472"/>
      <c r="M131" s="472"/>
      <c r="N131" s="472"/>
    </row>
    <row r="132" spans="1:14" x14ac:dyDescent="0.2">
      <c r="K132" s="526"/>
      <c r="L132" s="472"/>
      <c r="M132" s="472"/>
      <c r="N132" s="472"/>
    </row>
    <row r="133" spans="1:14" x14ac:dyDescent="0.2">
      <c r="K133" s="526"/>
      <c r="L133" s="472"/>
      <c r="M133" s="472"/>
      <c r="N133" s="472"/>
    </row>
    <row r="134" spans="1:14" x14ac:dyDescent="0.2">
      <c r="K134" s="526"/>
      <c r="L134" s="472"/>
      <c r="M134" s="472"/>
      <c r="N134" s="472"/>
    </row>
    <row r="135" spans="1:14" x14ac:dyDescent="0.2">
      <c r="K135" s="526"/>
      <c r="L135" s="472"/>
      <c r="M135" s="472"/>
      <c r="N135" s="472"/>
    </row>
    <row r="136" spans="1:14" x14ac:dyDescent="0.2">
      <c r="K136" s="526"/>
      <c r="L136" s="472"/>
      <c r="M136" s="472"/>
      <c r="N136" s="472"/>
    </row>
    <row r="137" spans="1:14" x14ac:dyDescent="0.2">
      <c r="K137" s="526"/>
      <c r="L137" s="472"/>
      <c r="M137" s="472"/>
      <c r="N137" s="472"/>
    </row>
    <row r="138" spans="1:14" x14ac:dyDescent="0.2">
      <c r="K138" s="526"/>
      <c r="L138" s="472"/>
      <c r="M138" s="472"/>
      <c r="N138" s="472"/>
    </row>
    <row r="139" spans="1:14" x14ac:dyDescent="0.2">
      <c r="K139" s="526"/>
      <c r="L139" s="472"/>
      <c r="M139" s="472"/>
      <c r="N139" s="472"/>
    </row>
    <row r="140" spans="1:14" x14ac:dyDescent="0.2">
      <c r="K140" s="526"/>
      <c r="L140" s="472"/>
      <c r="M140" s="472"/>
      <c r="N140" s="472"/>
    </row>
    <row r="141" spans="1:14" x14ac:dyDescent="0.2">
      <c r="K141" s="526"/>
      <c r="L141" s="472"/>
      <c r="M141" s="472"/>
      <c r="N141" s="472"/>
    </row>
    <row r="142" spans="1:14" x14ac:dyDescent="0.2">
      <c r="K142" s="526"/>
      <c r="L142" s="472"/>
      <c r="M142" s="472"/>
      <c r="N142" s="472"/>
    </row>
  </sheetData>
  <conditionalFormatting sqref="A1:XFD1">
    <cfRule type="cellIs" priority="4" operator="equal">
      <formula>0</formula>
    </cfRule>
    <cfRule type="containsErrors" dxfId="12" priority="5">
      <formula>ISERROR(A1)</formula>
    </cfRule>
  </conditionalFormatting>
  <conditionalFormatting sqref="E1:E1048576">
    <cfRule type="cellIs" dxfId="11" priority="1" operator="equal">
      <formula>0</formula>
    </cfRule>
  </conditionalFormatting>
  <conditionalFormatting sqref="G131:G1048576">
    <cfRule type="containsText" dxfId="10" priority="6" operator="containsText" text="blank">
      <formula>NOT(ISERROR(SEARCH("blank",G131)))</formula>
    </cfRule>
  </conditionalFormatting>
  <conditionalFormatting sqref="O2:XFD2 A2:A130 J2:J130 O3:Q9 R3:XFD15 O10:O14 P10:Q15 Q16:XFD16 P16:P142 R17:XFD1048576 H131:N142 A131:C1048576 O142 H143:P1048576 Q200:Q1048576">
    <cfRule type="cellIs" priority="7" operator="equal">
      <formula>0</formula>
    </cfRule>
  </conditionalFormatting>
  <conditionalFormatting sqref="Q16:XFD16 O2:XFD2 A2:A130 J2:J130 O3:Q9 R3:XFD15 O10:O14 P10:Q15 P16:P142 R17:XFD1048576 H131:N142 A131:C1048576 O142 H143:P1048576 Q200:Q1048576">
    <cfRule type="containsErrors" dxfId="9" priority="8">
      <formula>ISERROR(A2)</formula>
    </cfRule>
  </conditionalFormatting>
  <conditionalFormatting sqref="T2:T15">
    <cfRule type="dataBar" priority="3">
      <dataBar>
        <cfvo type="num" val="0"/>
        <cfvo type="num" val="1"/>
        <color rgb="FF008AEF"/>
      </dataBar>
      <extLst>
        <ext xmlns:x14="http://schemas.microsoft.com/office/spreadsheetml/2009/9/main" uri="{B025F937-C7B1-47D3-B67F-A62EFF666E3E}">
          <x14:id>{8BB06876-180A-4D00-97FE-0332AD614F7E}</x14:id>
        </ext>
      </extLst>
    </cfRule>
  </conditionalFormatting>
  <conditionalFormatting sqref="T16">
    <cfRule type="containsErrors" dxfId="8" priority="2">
      <formula>ISERROR(T16)</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8BB06876-180A-4D00-97FE-0332AD614F7E}">
            <x14:dataBar minLength="0" maxLength="100" border="1" negativeBarBorderColorSameAsPositive="0">
              <x14:cfvo type="num">
                <xm:f>0</xm:f>
              </x14:cfvo>
              <x14:cfvo type="num">
                <xm:f>1</xm:f>
              </x14:cfvo>
              <x14:borderColor rgb="FF008AEF"/>
              <x14:negativeFillColor rgb="FFFF0000"/>
              <x14:negativeBorderColor rgb="FFFF0000"/>
              <x14:axisColor rgb="FF000000"/>
            </x14:dataBar>
          </x14:cfRule>
          <xm:sqref>T2:T15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60EFD-0DBE-4B1A-8891-C6D4D48961B4}">
  <sheetPr codeName="Sheet5">
    <tabColor theme="3"/>
  </sheetPr>
  <dimension ref="A1:CE602"/>
  <sheetViews>
    <sheetView topLeftCell="D1" zoomScale="85" zoomScaleNormal="85" workbookViewId="0">
      <selection activeCell="R2" sqref="R2:R7"/>
    </sheetView>
  </sheetViews>
  <sheetFormatPr baseColWidth="10" defaultColWidth="8.83203125" defaultRowHeight="15" x14ac:dyDescent="0.2"/>
  <cols>
    <col min="1" max="1" width="2.6640625" style="502" customWidth="1"/>
    <col min="2" max="2" width="26" bestFit="1" customWidth="1"/>
    <col min="3" max="3" width="24.5" bestFit="1" customWidth="1"/>
    <col min="4" max="4" width="4.6640625" style="1" customWidth="1"/>
    <col min="5" max="5" width="8.33203125" style="527" customWidth="1"/>
    <col min="6" max="6" width="11.6640625" style="528" customWidth="1"/>
    <col min="7" max="7" width="13.33203125" style="528" bestFit="1" customWidth="1"/>
    <col min="8" max="8" width="9.1640625" style="527" hidden="1" customWidth="1"/>
    <col min="9" max="9" width="7.5" style="527" hidden="1" customWidth="1"/>
    <col min="10" max="10" width="8" style="527" customWidth="1"/>
    <col min="11" max="12" width="7.33203125" style="527" customWidth="1"/>
    <col min="13" max="13" width="45.5" style="527" customWidth="1"/>
    <col min="14" max="14" width="51.6640625" style="36" hidden="1" customWidth="1"/>
    <col min="15" max="15" width="8.83203125" style="36" hidden="1" customWidth="1"/>
    <col min="16" max="16" width="8.83203125" style="561" hidden="1" customWidth="1"/>
    <col min="17" max="17" width="57" customWidth="1"/>
    <col min="18" max="18" width="60.83203125" customWidth="1"/>
    <col min="19" max="19" width="9.1640625" style="502"/>
    <col min="20" max="20" width="56.1640625" style="529" bestFit="1" customWidth="1"/>
    <col min="21" max="21" width="97.5" style="502" bestFit="1" customWidth="1"/>
    <col min="22" max="22" width="18.6640625" style="502" customWidth="1"/>
    <col min="23" max="23" width="133.6640625" style="502" bestFit="1" customWidth="1"/>
    <col min="24" max="24" width="9.1640625" style="502"/>
    <col min="25" max="25" width="154.33203125" style="502" bestFit="1" customWidth="1"/>
    <col min="26" max="83" width="9.1640625" style="502"/>
  </cols>
  <sheetData>
    <row r="1" spans="1:83" s="502" customFormat="1" ht="81" thickBot="1" x14ac:dyDescent="0.25">
      <c r="B1" s="530" t="s">
        <v>2023</v>
      </c>
      <c r="C1" s="531" t="s">
        <v>874</v>
      </c>
      <c r="D1" s="532" t="s">
        <v>875</v>
      </c>
      <c r="E1" s="533" t="s">
        <v>876</v>
      </c>
      <c r="F1" s="534" t="s">
        <v>877</v>
      </c>
      <c r="G1" s="534" t="s">
        <v>878</v>
      </c>
      <c r="H1" s="533" t="s">
        <v>879</v>
      </c>
      <c r="I1" s="533" t="s">
        <v>880</v>
      </c>
      <c r="J1" s="533" t="s">
        <v>879</v>
      </c>
      <c r="K1" s="533" t="s">
        <v>881</v>
      </c>
      <c r="L1" s="533" t="s">
        <v>882</v>
      </c>
      <c r="M1" s="532" t="s">
        <v>883</v>
      </c>
      <c r="N1" s="532" t="s">
        <v>884</v>
      </c>
      <c r="O1" s="532" t="s">
        <v>885</v>
      </c>
      <c r="P1" s="550" t="s">
        <v>886</v>
      </c>
      <c r="Q1" s="535" t="s">
        <v>887</v>
      </c>
      <c r="R1" s="536" t="s">
        <v>888</v>
      </c>
      <c r="T1" s="537"/>
    </row>
    <row r="2" spans="1:83" s="365" customFormat="1" ht="18" customHeight="1" x14ac:dyDescent="0.2">
      <c r="A2" s="503"/>
      <c r="B2" s="538" t="s">
        <v>125</v>
      </c>
      <c r="C2" s="551" t="s">
        <v>41</v>
      </c>
      <c r="D2" s="552">
        <f>COUNTIFS(Rollup_PCA_notes!$L:$L,AUTO_NOTES!$B2,Rollup_PCA_notes!$C:$C,"X")</f>
        <v>0</v>
      </c>
      <c r="E2" s="547" t="e">
        <f t="shared" ref="E2:E7" si="0">D2/SUM(D$2:D$7)</f>
        <v>#DIV/0!</v>
      </c>
      <c r="F2" s="553">
        <f>SUMIFS(Rollup_PCA_notes!$J:$J,Rollup_PCA_notes!$L:$L,AUTO_NOTES!$B2,Rollup_PCA_notes!$C:$C,"x")</f>
        <v>0</v>
      </c>
      <c r="G2" s="553">
        <f>SUMIFS(Rollup_PCA_notes!$N:$N,Rollup_PCA_notes!$L:$L,AUTO_NOTES!$B2,Rollup_PCA_notes!$C:$C,"x")</f>
        <v>0</v>
      </c>
      <c r="H2" s="867">
        <f>IF(SUM(D5:D7)=0,0,(SUM(D5:D7)/SUM(D2:D7)))</f>
        <v>0</v>
      </c>
      <c r="I2" s="870" t="e">
        <f>SUM(F2:F7)/SUM(G2:G7)</f>
        <v>#DIV/0!</v>
      </c>
      <c r="J2" s="873" t="str">
        <f>IF(H2=0,"None",ROUNDDOWN((H2*100),0)&amp;"%")</f>
        <v>None</v>
      </c>
      <c r="K2" s="873" t="str">
        <f>IF(SUM(D3:D7)=0,"&lt;1%",IF(I2&lt;0.01,"&lt;1%",ROUNDDOWN((I2*100),0)&amp;"%"))</f>
        <v>&lt;1%</v>
      </c>
      <c r="L2" s="870" t="str">
        <f>IF(SUM(D3:D7)=0,"Green",IF(I2&gt;0.5,"Red",IF(I2&gt;0.01,"Yellow",IF(SUM(D4:D7)&gt;0,"Yellow","Green"))))</f>
        <v>Green</v>
      </c>
      <c r="M2" s="852" t="str">
        <f>IF(J2="None",$N2,$J2&amp;" "&amp;"of this system requires major renovation or replacement,"&amp;" "&amp;"including"&amp;" "&amp;$O2&amp;"  "&amp;"  "&amp;P2&amp;"  "&amp;"The cost to address identified needs is"&amp;" "&amp;$K2&amp;" "&amp;"of estimated cost to replace them, indicating"&amp;" "&amp;IF($L2="Red","need for systematic major renovations or replacements.",IF($L2="Yellow","need for significant renovations and potentially isolated replacements.",IF($L2="Green","need for regular maintenance and repairs.","error"))))</f>
        <v>None of this system requires major renovation or replacement.   The cost to address identified needs is  &lt;1% of estimated cost to replace them, indicating need for regular maintenance and repairs.</v>
      </c>
      <c r="N2" s="855" t="str">
        <f>$J2&amp;" "&amp;"of this system requires major renovation or replacement."&amp;" "&amp;" "&amp;P2&amp;" "&amp;"The cost to address identified needs is"&amp;"  "&amp;$K2&amp;" "&amp;"of estimated cost to replace them, indicating"&amp;" "&amp;IF($L2="Red","need for systematic major renovations or replacements.",IF($L2="Yellow","need for significant renovations and potentially isolated replacements.",IF($L2="Green","need for regular maintenance and repairs.","error")))</f>
        <v>None of this system requires major renovation or replacement.   The cost to address identified needs is  &lt;1% of estimated cost to replace them, indicating need for regular maintenance and repairs.</v>
      </c>
      <c r="O2" s="858" t="str" cm="1">
        <f t="array" ref="O2">_xlfn.TEXTJOIN(" ",TRUE,IF(Rollup_PCA_notes!$L:$L=AUTO_NOTES!$B2,Rollup_PCA_notes!$R:$R,""))</f>
        <v/>
      </c>
      <c r="P2" s="858" t="str" cm="1">
        <f t="array" ref="P2">_xlfn.TEXTJOIN(" ",TRUE,IF(Rollup_PCA_notes!$L:$L=AUTO_NOTES!$B2,Rollup_PCA_notes!$S:$S,""))</f>
        <v/>
      </c>
      <c r="Q2" s="861" t="str" cm="1">
        <f t="array" ref="Q2">_xlfn.TEXTJOIN(" ",TRUE,IF(Rollup_PCA_notes!$L:$L=AUTO_NOTES!$B2,Rollup_PCA_notes!$K:$K,""))</f>
        <v>0 0 0 0 0 0 0 0 0 0</v>
      </c>
      <c r="R2" s="864"/>
      <c r="S2" s="503"/>
      <c r="T2" s="539"/>
      <c r="U2" s="503"/>
      <c r="V2" s="503"/>
      <c r="W2" s="503"/>
      <c r="X2" s="503"/>
      <c r="Y2" s="503"/>
      <c r="Z2" s="503"/>
      <c r="AA2" s="503"/>
      <c r="AB2" s="503"/>
      <c r="AC2" s="503"/>
      <c r="AD2" s="503"/>
      <c r="AE2" s="503"/>
      <c r="AF2" s="503"/>
      <c r="AG2" s="503"/>
      <c r="AH2" s="503"/>
      <c r="AI2" s="503"/>
      <c r="AJ2" s="503"/>
      <c r="AK2" s="503"/>
      <c r="AL2" s="503"/>
      <c r="AM2" s="503"/>
      <c r="AN2" s="503"/>
      <c r="AO2" s="503"/>
      <c r="AP2" s="503"/>
      <c r="AQ2" s="503"/>
      <c r="AR2" s="503"/>
      <c r="AS2" s="503"/>
      <c r="AT2" s="503"/>
      <c r="AU2" s="503"/>
      <c r="AV2" s="503"/>
      <c r="AW2" s="503"/>
      <c r="AX2" s="503"/>
      <c r="AY2" s="503"/>
      <c r="AZ2" s="503"/>
      <c r="BA2" s="503"/>
      <c r="BB2" s="503"/>
      <c r="BC2" s="503"/>
      <c r="BD2" s="503"/>
      <c r="BE2" s="503"/>
      <c r="BF2" s="503"/>
      <c r="BG2" s="503"/>
      <c r="BH2" s="503"/>
      <c r="BI2" s="503"/>
      <c r="BJ2" s="503"/>
      <c r="BK2" s="503"/>
      <c r="BL2" s="503"/>
      <c r="BM2" s="503"/>
      <c r="BN2" s="503"/>
      <c r="BO2" s="503"/>
      <c r="BP2" s="503"/>
      <c r="BQ2" s="503"/>
      <c r="BR2" s="503"/>
      <c r="BS2" s="503"/>
      <c r="BT2" s="503"/>
      <c r="BU2" s="503"/>
      <c r="BV2" s="503"/>
      <c r="BW2" s="503"/>
      <c r="BX2" s="503"/>
      <c r="BY2" s="503"/>
      <c r="BZ2" s="503"/>
      <c r="CA2" s="503"/>
      <c r="CB2" s="503"/>
      <c r="CC2" s="503"/>
      <c r="CD2" s="503"/>
      <c r="CE2" s="503"/>
    </row>
    <row r="3" spans="1:83" s="365" customFormat="1" ht="18" customHeight="1" x14ac:dyDescent="0.2">
      <c r="A3" s="503"/>
      <c r="B3" s="540" t="str">
        <f>B2</f>
        <v>Doors</v>
      </c>
      <c r="C3" s="554" t="s">
        <v>889</v>
      </c>
      <c r="D3" s="555">
        <f>COUNTIFS(Rollup_PCA_notes!$L:$L,AUTO_NOTES!$B3,Rollup_PCA_notes!$D:$D,"X")</f>
        <v>0</v>
      </c>
      <c r="E3" s="548" t="e">
        <f t="shared" si="0"/>
        <v>#DIV/0!</v>
      </c>
      <c r="F3" s="556">
        <f>SUMIFS(Rollup_PCA_notes!$J:$J,Rollup_PCA_notes!$L:$L,AUTO_NOTES!$B3,Rollup_PCA_notes!$D:$D,"x")</f>
        <v>0</v>
      </c>
      <c r="G3" s="556">
        <f>SUMIFS(Rollup_PCA_notes!$N:$N,Rollup_PCA_notes!$L:$L,AUTO_NOTES!$B3,Rollup_PCA_notes!$D:$D,"x")</f>
        <v>0</v>
      </c>
      <c r="H3" s="868"/>
      <c r="I3" s="871"/>
      <c r="J3" s="874"/>
      <c r="K3" s="874"/>
      <c r="L3" s="871"/>
      <c r="M3" s="853"/>
      <c r="N3" s="856"/>
      <c r="O3" s="859"/>
      <c r="P3" s="859"/>
      <c r="Q3" s="862"/>
      <c r="R3" s="865"/>
      <c r="S3" s="503"/>
      <c r="T3" s="539"/>
      <c r="U3" s="503"/>
      <c r="V3" s="503"/>
      <c r="W3" s="503"/>
      <c r="X3" s="503"/>
      <c r="Y3" s="503"/>
      <c r="Z3" s="503"/>
      <c r="AA3" s="503"/>
      <c r="AB3" s="503"/>
      <c r="AC3" s="503"/>
      <c r="AD3" s="503"/>
      <c r="AE3" s="503"/>
      <c r="AF3" s="503"/>
      <c r="AG3" s="503"/>
      <c r="AH3" s="503"/>
      <c r="AI3" s="503"/>
      <c r="AJ3" s="503"/>
      <c r="AK3" s="503"/>
      <c r="AL3" s="503"/>
      <c r="AM3" s="503"/>
      <c r="AN3" s="503"/>
      <c r="AO3" s="503"/>
      <c r="AP3" s="503"/>
      <c r="AQ3" s="503"/>
      <c r="AR3" s="503"/>
      <c r="AS3" s="503"/>
      <c r="AT3" s="503"/>
      <c r="AU3" s="503"/>
      <c r="AV3" s="503"/>
      <c r="AW3" s="503"/>
      <c r="AX3" s="503"/>
      <c r="AY3" s="503"/>
      <c r="AZ3" s="503"/>
      <c r="BA3" s="503"/>
      <c r="BB3" s="503"/>
      <c r="BC3" s="503"/>
      <c r="BD3" s="503"/>
      <c r="BE3" s="503"/>
      <c r="BF3" s="503"/>
      <c r="BG3" s="503"/>
      <c r="BH3" s="503"/>
      <c r="BI3" s="503"/>
      <c r="BJ3" s="503"/>
      <c r="BK3" s="503"/>
      <c r="BL3" s="503"/>
      <c r="BM3" s="503"/>
      <c r="BN3" s="503"/>
      <c r="BO3" s="503"/>
      <c r="BP3" s="503"/>
      <c r="BQ3" s="503"/>
      <c r="BR3" s="503"/>
      <c r="BS3" s="503"/>
      <c r="BT3" s="503"/>
      <c r="BU3" s="503"/>
      <c r="BV3" s="503"/>
      <c r="BW3" s="503"/>
      <c r="BX3" s="503"/>
      <c r="BY3" s="503"/>
      <c r="BZ3" s="503"/>
      <c r="CA3" s="503"/>
      <c r="CB3" s="503"/>
      <c r="CC3" s="503"/>
      <c r="CD3" s="503"/>
      <c r="CE3" s="503"/>
    </row>
    <row r="4" spans="1:83" s="365" customFormat="1" ht="18" customHeight="1" x14ac:dyDescent="0.2">
      <c r="A4" s="503"/>
      <c r="B4" s="540" t="str">
        <f>B3</f>
        <v>Doors</v>
      </c>
      <c r="C4" s="554" t="s">
        <v>43</v>
      </c>
      <c r="D4" s="555">
        <f>COUNTIFS(Rollup_PCA_notes!$L:$L,AUTO_NOTES!$B4,Rollup_PCA_notes!$E:$E,"X")</f>
        <v>0</v>
      </c>
      <c r="E4" s="548" t="e">
        <f t="shared" si="0"/>
        <v>#DIV/0!</v>
      </c>
      <c r="F4" s="556">
        <f>SUMIFS(Rollup_PCA_notes!$J:$J,Rollup_PCA_notes!$L:$L,AUTO_NOTES!$B4,Rollup_PCA_notes!$E:$E,"x")</f>
        <v>0</v>
      </c>
      <c r="G4" s="556">
        <f>SUMIFS(Rollup_PCA_notes!$N:$N,Rollup_PCA_notes!$L:$L,AUTO_NOTES!$B4,Rollup_PCA_notes!$E:$E,"x")</f>
        <v>0</v>
      </c>
      <c r="H4" s="868"/>
      <c r="I4" s="871"/>
      <c r="J4" s="874"/>
      <c r="K4" s="874"/>
      <c r="L4" s="871"/>
      <c r="M4" s="853"/>
      <c r="N4" s="856"/>
      <c r="O4" s="859"/>
      <c r="P4" s="859"/>
      <c r="Q4" s="862"/>
      <c r="R4" s="865"/>
      <c r="S4" s="503"/>
      <c r="T4" s="539"/>
      <c r="U4" s="503"/>
      <c r="V4" s="503"/>
      <c r="W4" s="503"/>
      <c r="X4" s="503"/>
      <c r="Y4" s="503"/>
      <c r="Z4" s="503"/>
      <c r="AA4" s="503"/>
      <c r="AB4" s="503"/>
      <c r="AC4" s="503"/>
      <c r="AD4" s="503"/>
      <c r="AE4" s="503"/>
      <c r="AF4" s="503"/>
      <c r="AG4" s="503"/>
      <c r="AH4" s="503"/>
      <c r="AI4" s="503"/>
      <c r="AJ4" s="503"/>
      <c r="AK4" s="503"/>
      <c r="AL4" s="503"/>
      <c r="AM4" s="503"/>
      <c r="AN4" s="503"/>
      <c r="AO4" s="503"/>
      <c r="AP4" s="503"/>
      <c r="AQ4" s="503"/>
      <c r="AR4" s="503"/>
      <c r="AS4" s="503"/>
      <c r="AT4" s="503"/>
      <c r="AU4" s="503"/>
      <c r="AV4" s="503"/>
      <c r="AW4" s="503"/>
      <c r="AX4" s="503"/>
      <c r="AY4" s="503"/>
      <c r="AZ4" s="503"/>
      <c r="BA4" s="503"/>
      <c r="BB4" s="503"/>
      <c r="BC4" s="503"/>
      <c r="BD4" s="503"/>
      <c r="BE4" s="503"/>
      <c r="BF4" s="503"/>
      <c r="BG4" s="503"/>
      <c r="BH4" s="503"/>
      <c r="BI4" s="503"/>
      <c r="BJ4" s="503"/>
      <c r="BK4" s="503"/>
      <c r="BL4" s="503"/>
      <c r="BM4" s="503"/>
      <c r="BN4" s="503"/>
      <c r="BO4" s="503"/>
      <c r="BP4" s="503"/>
      <c r="BQ4" s="503"/>
      <c r="BR4" s="503"/>
      <c r="BS4" s="503"/>
      <c r="BT4" s="503"/>
      <c r="BU4" s="503"/>
      <c r="BV4" s="503"/>
      <c r="BW4" s="503"/>
      <c r="BX4" s="503"/>
      <c r="BY4" s="503"/>
      <c r="BZ4" s="503"/>
      <c r="CA4" s="503"/>
      <c r="CB4" s="503"/>
      <c r="CC4" s="503"/>
      <c r="CD4" s="503"/>
      <c r="CE4" s="503"/>
    </row>
    <row r="5" spans="1:83" s="365" customFormat="1" ht="18" customHeight="1" x14ac:dyDescent="0.2">
      <c r="A5" s="503"/>
      <c r="B5" s="540" t="str">
        <f>B4</f>
        <v>Doors</v>
      </c>
      <c r="C5" s="554" t="s">
        <v>890</v>
      </c>
      <c r="D5" s="555">
        <f>COUNTIFS(Rollup_PCA_notes!$L:$L,AUTO_NOTES!$B5,Rollup_PCA_notes!$F:$F,"X")</f>
        <v>0</v>
      </c>
      <c r="E5" s="548" t="e">
        <f t="shared" si="0"/>
        <v>#DIV/0!</v>
      </c>
      <c r="F5" s="556">
        <f>SUMIFS(Rollup_PCA_notes!$J:$J,Rollup_PCA_notes!$L:$L,AUTO_NOTES!$B5,Rollup_PCA_notes!$F:$F,"x")</f>
        <v>0</v>
      </c>
      <c r="G5" s="556">
        <f>SUMIFS(Rollup_PCA_notes!$N:$N,Rollup_PCA_notes!$L:$L,AUTO_NOTES!$B5,Rollup_PCA_notes!$F:$F,"x")</f>
        <v>0</v>
      </c>
      <c r="H5" s="868"/>
      <c r="I5" s="871"/>
      <c r="J5" s="874"/>
      <c r="K5" s="874"/>
      <c r="L5" s="871"/>
      <c r="M5" s="853"/>
      <c r="N5" s="856"/>
      <c r="O5" s="859"/>
      <c r="P5" s="859"/>
      <c r="Q5" s="862"/>
      <c r="R5" s="865"/>
      <c r="S5" s="503"/>
      <c r="T5" s="539"/>
      <c r="U5" s="503"/>
      <c r="V5" s="503"/>
      <c r="W5" s="503"/>
      <c r="X5" s="503"/>
      <c r="Y5" s="503"/>
      <c r="Z5" s="503"/>
      <c r="AA5" s="503"/>
      <c r="AB5" s="503"/>
      <c r="AC5" s="503"/>
      <c r="AD5" s="503"/>
      <c r="AE5" s="503"/>
      <c r="AF5" s="503"/>
      <c r="AG5" s="503"/>
      <c r="AH5" s="503"/>
      <c r="AI5" s="503"/>
      <c r="AJ5" s="503"/>
      <c r="AK5" s="503"/>
      <c r="AL5" s="503"/>
      <c r="AM5" s="503"/>
      <c r="AN5" s="503"/>
      <c r="AO5" s="503"/>
      <c r="AP5" s="503"/>
      <c r="AQ5" s="503"/>
      <c r="AR5" s="503"/>
      <c r="AS5" s="503"/>
      <c r="AT5" s="503"/>
      <c r="AU5" s="503"/>
      <c r="AV5" s="503"/>
      <c r="AW5" s="503"/>
      <c r="AX5" s="503"/>
      <c r="AY5" s="503"/>
      <c r="AZ5" s="503"/>
      <c r="BA5" s="503"/>
      <c r="BB5" s="503"/>
      <c r="BC5" s="503"/>
      <c r="BD5" s="503"/>
      <c r="BE5" s="503"/>
      <c r="BF5" s="503"/>
      <c r="BG5" s="503"/>
      <c r="BH5" s="503"/>
      <c r="BI5" s="503"/>
      <c r="BJ5" s="503"/>
      <c r="BK5" s="503"/>
      <c r="BL5" s="503"/>
      <c r="BM5" s="503"/>
      <c r="BN5" s="503"/>
      <c r="BO5" s="503"/>
      <c r="BP5" s="503"/>
      <c r="BQ5" s="503"/>
      <c r="BR5" s="503"/>
      <c r="BS5" s="503"/>
      <c r="BT5" s="503"/>
      <c r="BU5" s="503"/>
      <c r="BV5" s="503"/>
      <c r="BW5" s="503"/>
      <c r="BX5" s="503"/>
      <c r="BY5" s="503"/>
      <c r="BZ5" s="503"/>
      <c r="CA5" s="503"/>
      <c r="CB5" s="503"/>
      <c r="CC5" s="503"/>
      <c r="CD5" s="503"/>
      <c r="CE5" s="503"/>
    </row>
    <row r="6" spans="1:83" s="365" customFormat="1" ht="18" customHeight="1" x14ac:dyDescent="0.2">
      <c r="A6" s="503"/>
      <c r="B6" s="540" t="str">
        <f>B5</f>
        <v>Doors</v>
      </c>
      <c r="C6" s="554" t="s">
        <v>45</v>
      </c>
      <c r="D6" s="555">
        <f>COUNTIFS(Rollup_PCA_notes!$L:$L,AUTO_NOTES!$B6,Rollup_PCA_notes!$G:$G,"X")</f>
        <v>0</v>
      </c>
      <c r="E6" s="548" t="e">
        <f t="shared" si="0"/>
        <v>#DIV/0!</v>
      </c>
      <c r="F6" s="556">
        <f>SUMIFS(Rollup_PCA_notes!$J:$J,Rollup_PCA_notes!$L:$L,AUTO_NOTES!$B6,Rollup_PCA_notes!$G:$G,"x")</f>
        <v>0</v>
      </c>
      <c r="G6" s="556">
        <f>SUMIFS(Rollup_PCA_notes!$N:$N,Rollup_PCA_notes!$L:$L,AUTO_NOTES!$B6,Rollup_PCA_notes!$G:$G,"x")</f>
        <v>0</v>
      </c>
      <c r="H6" s="868"/>
      <c r="I6" s="871"/>
      <c r="J6" s="874"/>
      <c r="K6" s="874"/>
      <c r="L6" s="871"/>
      <c r="M6" s="853"/>
      <c r="N6" s="856"/>
      <c r="O6" s="859"/>
      <c r="P6" s="859"/>
      <c r="Q6" s="862"/>
      <c r="R6" s="865"/>
      <c r="S6" s="503"/>
      <c r="T6" s="539"/>
      <c r="U6" s="503"/>
      <c r="V6" s="503"/>
      <c r="W6" s="503"/>
      <c r="X6" s="503"/>
      <c r="Y6" s="503"/>
      <c r="Z6" s="503"/>
      <c r="AA6" s="503"/>
      <c r="AB6" s="503"/>
      <c r="AC6" s="503"/>
      <c r="AD6" s="503"/>
      <c r="AE6" s="503"/>
      <c r="AF6" s="503"/>
      <c r="AG6" s="503"/>
      <c r="AH6" s="503"/>
      <c r="AI6" s="503"/>
      <c r="AJ6" s="503"/>
      <c r="AK6" s="503"/>
      <c r="AL6" s="503"/>
      <c r="AM6" s="503"/>
      <c r="AN6" s="503"/>
      <c r="AO6" s="503"/>
      <c r="AP6" s="503"/>
      <c r="AQ6" s="503"/>
      <c r="AR6" s="503"/>
      <c r="AS6" s="503"/>
      <c r="AT6" s="503"/>
      <c r="AU6" s="503"/>
      <c r="AV6" s="503"/>
      <c r="AW6" s="503"/>
      <c r="AX6" s="503"/>
      <c r="AY6" s="503"/>
      <c r="AZ6" s="503"/>
      <c r="BA6" s="503"/>
      <c r="BB6" s="503"/>
      <c r="BC6" s="503"/>
      <c r="BD6" s="503"/>
      <c r="BE6" s="503"/>
      <c r="BF6" s="503"/>
      <c r="BG6" s="503"/>
      <c r="BH6" s="503"/>
      <c r="BI6" s="503"/>
      <c r="BJ6" s="503"/>
      <c r="BK6" s="503"/>
      <c r="BL6" s="503"/>
      <c r="BM6" s="503"/>
      <c r="BN6" s="503"/>
      <c r="BO6" s="503"/>
      <c r="BP6" s="503"/>
      <c r="BQ6" s="503"/>
      <c r="BR6" s="503"/>
      <c r="BS6" s="503"/>
      <c r="BT6" s="503"/>
      <c r="BU6" s="503"/>
      <c r="BV6" s="503"/>
      <c r="BW6" s="503"/>
      <c r="BX6" s="503"/>
      <c r="BY6" s="503"/>
      <c r="BZ6" s="503"/>
      <c r="CA6" s="503"/>
      <c r="CB6" s="503"/>
      <c r="CC6" s="503"/>
      <c r="CD6" s="503"/>
      <c r="CE6" s="503"/>
    </row>
    <row r="7" spans="1:83" s="365" customFormat="1" ht="18" customHeight="1" thickBot="1" x14ac:dyDescent="0.25">
      <c r="A7" s="503"/>
      <c r="B7" s="541" t="str">
        <f>B6</f>
        <v>Doors</v>
      </c>
      <c r="C7" s="557" t="s">
        <v>46</v>
      </c>
      <c r="D7" s="558">
        <f>COUNTIFS(Rollup_PCA_notes!$L:$L,AUTO_NOTES!$B7,Rollup_PCA_notes!$H:$H,"X")</f>
        <v>0</v>
      </c>
      <c r="E7" s="549" t="e">
        <f t="shared" si="0"/>
        <v>#DIV/0!</v>
      </c>
      <c r="F7" s="559">
        <f>SUMIFS(Rollup_PCA_notes!$J:$J,Rollup_PCA_notes!$L:$L,AUTO_NOTES!$B7,Rollup_PCA_notes!$H:$H,"x")</f>
        <v>0</v>
      </c>
      <c r="G7" s="559">
        <f>SUMIFS(Rollup_PCA_notes!$N:$N,Rollup_PCA_notes!$L:$L,AUTO_NOTES!$B7,Rollup_PCA_notes!$H:$H,"x")</f>
        <v>0</v>
      </c>
      <c r="H7" s="869"/>
      <c r="I7" s="872"/>
      <c r="J7" s="875"/>
      <c r="K7" s="875"/>
      <c r="L7" s="872"/>
      <c r="M7" s="854"/>
      <c r="N7" s="857"/>
      <c r="O7" s="860"/>
      <c r="P7" s="860"/>
      <c r="Q7" s="863"/>
      <c r="R7" s="866"/>
      <c r="S7" s="503"/>
      <c r="T7" s="539"/>
      <c r="U7" s="503"/>
      <c r="V7" s="503"/>
      <c r="W7" s="503"/>
      <c r="X7" s="503"/>
      <c r="Y7" s="503"/>
      <c r="Z7" s="503"/>
      <c r="AA7" s="503"/>
      <c r="AB7" s="503"/>
      <c r="AC7" s="503"/>
      <c r="AD7" s="503"/>
      <c r="AE7" s="503"/>
      <c r="AF7" s="503"/>
      <c r="AG7" s="503"/>
      <c r="AH7" s="503"/>
      <c r="AI7" s="503"/>
      <c r="AJ7" s="503"/>
      <c r="AK7" s="503"/>
      <c r="AL7" s="503"/>
      <c r="AM7" s="503"/>
      <c r="AN7" s="503"/>
      <c r="AO7" s="503"/>
      <c r="AP7" s="503"/>
      <c r="AQ7" s="503"/>
      <c r="AR7" s="503"/>
      <c r="AS7" s="503"/>
      <c r="AT7" s="503"/>
      <c r="AU7" s="503"/>
      <c r="AV7" s="503"/>
      <c r="AW7" s="503"/>
      <c r="AX7" s="503"/>
      <c r="AY7" s="503"/>
      <c r="AZ7" s="503"/>
      <c r="BA7" s="503"/>
      <c r="BB7" s="503"/>
      <c r="BC7" s="503"/>
      <c r="BD7" s="503"/>
      <c r="BE7" s="503"/>
      <c r="BF7" s="503"/>
      <c r="BG7" s="503"/>
      <c r="BH7" s="503"/>
      <c r="BI7" s="503"/>
      <c r="BJ7" s="503"/>
      <c r="BK7" s="503"/>
      <c r="BL7" s="503"/>
      <c r="BM7" s="503"/>
      <c r="BN7" s="503"/>
      <c r="BO7" s="503"/>
      <c r="BP7" s="503"/>
      <c r="BQ7" s="503"/>
      <c r="BR7" s="503"/>
      <c r="BS7" s="503"/>
      <c r="BT7" s="503"/>
      <c r="BU7" s="503"/>
      <c r="BV7" s="503"/>
      <c r="BW7" s="503"/>
      <c r="BX7" s="503"/>
      <c r="BY7" s="503"/>
      <c r="BZ7" s="503"/>
      <c r="CA7" s="503"/>
      <c r="CB7" s="503"/>
      <c r="CC7" s="503"/>
      <c r="CD7" s="503"/>
      <c r="CE7" s="503"/>
    </row>
    <row r="8" spans="1:83" s="365" customFormat="1" ht="18" customHeight="1" x14ac:dyDescent="0.2">
      <c r="A8" s="503"/>
      <c r="B8" s="538" t="s">
        <v>302</v>
      </c>
      <c r="C8" s="551" t="s">
        <v>41</v>
      </c>
      <c r="D8" s="552">
        <f>COUNTIFS(Rollup_PCA_notes!$L:$L,AUTO_NOTES!$B8,Rollup_PCA_notes!$C:$C,"X")</f>
        <v>0</v>
      </c>
      <c r="E8" s="547" t="e">
        <f t="shared" ref="E8:E13" si="1">D8/SUM(D$8:D$13)</f>
        <v>#DIV/0!</v>
      </c>
      <c r="F8" s="553">
        <f>SUMIFS(Rollup_PCA_notes!$J:$J,Rollup_PCA_notes!$L:$L,AUTO_NOTES!$B8,Rollup_PCA_notes!$C:$C,"x")</f>
        <v>0</v>
      </c>
      <c r="G8" s="553">
        <f>SUMIFS(Rollup_PCA_notes!$N:$N,Rollup_PCA_notes!$L:$L,AUTO_NOTES!$B8,Rollup_PCA_notes!$C:$C,"x")</f>
        <v>0</v>
      </c>
      <c r="H8" s="867">
        <f t="shared" ref="H8" si="2">IF(SUM(D11:D13)=0,0,(SUM(D11:D13)/SUM(D8:D13)))</f>
        <v>0</v>
      </c>
      <c r="I8" s="870" t="e">
        <f t="shared" ref="I8" si="3">SUM(F8:F13)/SUM(G8:G13)</f>
        <v>#DIV/0!</v>
      </c>
      <c r="J8" s="873" t="str">
        <f t="shared" ref="J8" si="4">IF(H8=0,"None",ROUNDDOWN((H8*100),0)&amp;"%")</f>
        <v>None</v>
      </c>
      <c r="K8" s="873" t="str">
        <f t="shared" ref="K8" si="5">IF(SUM(D9:D13)=0,"&lt;1%",IF(I8&lt;0.01,"&lt;1%",ROUNDDOWN((I8*100),0)&amp;"%"))</f>
        <v>&lt;1%</v>
      </c>
      <c r="L8" s="870" t="str">
        <f t="shared" ref="L8" si="6">IF(SUM(D9:D13)=0,"Green",IF(I8&gt;0.5,"Red",IF(I8&gt;0.01,"Yellow",IF(SUM(D10:D13)&gt;0,"Yellow","Green"))))</f>
        <v>Green</v>
      </c>
      <c r="M8" s="852" t="str">
        <f>IF(J8="None",$N8,$J8&amp;" "&amp;"of this system requires major renovation or replacement,"&amp;" "&amp;"including"&amp;" "&amp;$O8&amp;"  "&amp;"  "&amp;P8&amp;"  "&amp;"The cost to address identified needs is"&amp;" "&amp;$K8&amp;" "&amp;"of estimated cost to replace them, indicating"&amp;" "&amp;IF($L8="Red","need for systematic major renovations or replacements.",IF($L8="Yellow","need for significant renovations and potentially isolated replacements.",IF($L8="Green","need for regular maintenance and repairs.","error"))))</f>
        <v>None of this system requires major renovation or replacement.   The cost to address identified needs is  &lt;1% of estimated cost to replace them, indicating need for regular maintenance and repairs.</v>
      </c>
      <c r="N8" s="855" t="str">
        <f>$J8&amp;" "&amp;"of this system requires major renovation or replacement."&amp;" "&amp;" "&amp;P8&amp;" "&amp;"The cost to address identified needs is"&amp;"  "&amp;$K8&amp;" "&amp;"of estimated cost to replace them, indicating"&amp;" "&amp;IF($L8="Red","need for systematic major renovations or replacements.",IF($L8="Yellow","need for significant renovations and potentially isolated replacements.",IF($L8="Green","need for regular maintenance and repairs.","error")))</f>
        <v>None of this system requires major renovation or replacement.   The cost to address identified needs is  &lt;1% of estimated cost to replace them, indicating need for regular maintenance and repairs.</v>
      </c>
      <c r="O8" s="858" t="str" cm="1">
        <f t="array" ref="O8">_xlfn.TEXTJOIN(" ",TRUE,IF(Rollup_PCA_notes!$L:$L=AUTO_NOTES!$B8,Rollup_PCA_notes!$R:$R,""))</f>
        <v/>
      </c>
      <c r="P8" s="858" t="str" cm="1">
        <f t="array" ref="P8">_xlfn.TEXTJOIN(" ",TRUE,IF(Rollup_PCA_notes!$L:$L=AUTO_NOTES!$B8,Rollup_PCA_notes!$S:$S,""))</f>
        <v/>
      </c>
      <c r="Q8" s="861" t="str" cm="1">
        <f t="array" ref="Q8">_xlfn.TEXTJOIN(" ",TRUE,IF(Rollup_PCA_notes!$L:$L=AUTO_NOTES!$B8,Rollup_PCA_notes!$K:$K,""))</f>
        <v>0 0 0 0 0 0 0 0 0 0 0 0</v>
      </c>
      <c r="R8" s="864"/>
      <c r="S8" s="503"/>
      <c r="T8" s="539"/>
      <c r="U8" s="503"/>
      <c r="V8" s="503"/>
      <c r="W8" s="503"/>
      <c r="X8" s="503"/>
      <c r="Y8" s="503"/>
      <c r="Z8" s="503"/>
      <c r="AA8" s="503"/>
      <c r="AB8" s="503"/>
      <c r="AC8" s="503"/>
      <c r="AD8" s="503"/>
      <c r="AE8" s="503"/>
      <c r="AF8" s="503"/>
      <c r="AG8" s="503"/>
      <c r="AH8" s="503"/>
      <c r="AI8" s="503"/>
      <c r="AJ8" s="503"/>
      <c r="AK8" s="503"/>
      <c r="AL8" s="503"/>
      <c r="AM8" s="503"/>
      <c r="AN8" s="503"/>
      <c r="AO8" s="503"/>
      <c r="AP8" s="503"/>
      <c r="AQ8" s="503"/>
      <c r="AR8" s="503"/>
      <c r="AS8" s="503"/>
      <c r="AT8" s="503"/>
      <c r="AU8" s="503"/>
      <c r="AV8" s="503"/>
      <c r="AW8" s="503"/>
      <c r="AX8" s="503"/>
      <c r="AY8" s="503"/>
      <c r="AZ8" s="503"/>
      <c r="BA8" s="503"/>
      <c r="BB8" s="503"/>
      <c r="BC8" s="503"/>
      <c r="BD8" s="503"/>
      <c r="BE8" s="503"/>
      <c r="BF8" s="503"/>
      <c r="BG8" s="503"/>
      <c r="BH8" s="503"/>
      <c r="BI8" s="503"/>
      <c r="BJ8" s="503"/>
      <c r="BK8" s="503"/>
      <c r="BL8" s="503"/>
      <c r="BM8" s="503"/>
      <c r="BN8" s="503"/>
      <c r="BO8" s="503"/>
      <c r="BP8" s="503"/>
      <c r="BQ8" s="503"/>
      <c r="BR8" s="503"/>
      <c r="BS8" s="503"/>
      <c r="BT8" s="503"/>
      <c r="BU8" s="503"/>
      <c r="BV8" s="503"/>
      <c r="BW8" s="503"/>
      <c r="BX8" s="503"/>
      <c r="BY8" s="503"/>
      <c r="BZ8" s="503"/>
      <c r="CA8" s="503"/>
      <c r="CB8" s="503"/>
      <c r="CC8" s="503"/>
      <c r="CD8" s="503"/>
      <c r="CE8" s="503"/>
    </row>
    <row r="9" spans="1:83" s="365" customFormat="1" ht="18" customHeight="1" x14ac:dyDescent="0.2">
      <c r="A9" s="503"/>
      <c r="B9" s="540" t="str">
        <f>B8</f>
        <v>Electrical</v>
      </c>
      <c r="C9" s="554" t="s">
        <v>889</v>
      </c>
      <c r="D9" s="555">
        <f>COUNTIFS(Rollup_PCA_notes!$L:$L,AUTO_NOTES!$B9,Rollup_PCA_notes!$D:$D,"X")</f>
        <v>0</v>
      </c>
      <c r="E9" s="548" t="e">
        <f t="shared" si="1"/>
        <v>#DIV/0!</v>
      </c>
      <c r="F9" s="556">
        <f>SUMIFS(Rollup_PCA_notes!$J:$J,Rollup_PCA_notes!$L:$L,AUTO_NOTES!$B9,Rollup_PCA_notes!$D:$D,"x")</f>
        <v>0</v>
      </c>
      <c r="G9" s="556">
        <f>SUMIFS(Rollup_PCA_notes!$N:$N,Rollup_PCA_notes!$L:$L,AUTO_NOTES!$B9,Rollup_PCA_notes!$D:$D,"x")</f>
        <v>0</v>
      </c>
      <c r="H9" s="868"/>
      <c r="I9" s="871"/>
      <c r="J9" s="874"/>
      <c r="K9" s="874"/>
      <c r="L9" s="871"/>
      <c r="M9" s="853"/>
      <c r="N9" s="856"/>
      <c r="O9" s="859"/>
      <c r="P9" s="859"/>
      <c r="Q9" s="862"/>
      <c r="R9" s="865"/>
      <c r="S9" s="503"/>
      <c r="T9" s="539"/>
      <c r="U9" s="503"/>
      <c r="V9" s="503"/>
      <c r="W9" s="503"/>
      <c r="X9" s="503"/>
      <c r="Y9" s="503"/>
      <c r="Z9" s="503"/>
      <c r="AA9" s="503"/>
      <c r="AB9" s="503"/>
      <c r="AC9" s="503"/>
      <c r="AD9" s="503"/>
      <c r="AE9" s="503"/>
      <c r="AF9" s="503"/>
      <c r="AG9" s="503"/>
      <c r="AH9" s="503"/>
      <c r="AI9" s="503"/>
      <c r="AJ9" s="503"/>
      <c r="AK9" s="503"/>
      <c r="AL9" s="503"/>
      <c r="AM9" s="503"/>
      <c r="AN9" s="503"/>
      <c r="AO9" s="503"/>
      <c r="AP9" s="503"/>
      <c r="AQ9" s="503"/>
      <c r="AR9" s="503"/>
      <c r="AS9" s="503"/>
      <c r="AT9" s="503"/>
      <c r="AU9" s="503"/>
      <c r="AV9" s="503"/>
      <c r="AW9" s="503"/>
      <c r="AX9" s="503"/>
      <c r="AY9" s="503"/>
      <c r="AZ9" s="503"/>
      <c r="BA9" s="503"/>
      <c r="BB9" s="503"/>
      <c r="BC9" s="503"/>
      <c r="BD9" s="503"/>
      <c r="BE9" s="503"/>
      <c r="BF9" s="503"/>
      <c r="BG9" s="503"/>
      <c r="BH9" s="503"/>
      <c r="BI9" s="503"/>
      <c r="BJ9" s="503"/>
      <c r="BK9" s="503"/>
      <c r="BL9" s="503"/>
      <c r="BM9" s="503"/>
      <c r="BN9" s="503"/>
      <c r="BO9" s="503"/>
      <c r="BP9" s="503"/>
      <c r="BQ9" s="503"/>
      <c r="BR9" s="503"/>
      <c r="BS9" s="503"/>
      <c r="BT9" s="503"/>
      <c r="BU9" s="503"/>
      <c r="BV9" s="503"/>
      <c r="BW9" s="503"/>
      <c r="BX9" s="503"/>
      <c r="BY9" s="503"/>
      <c r="BZ9" s="503"/>
      <c r="CA9" s="503"/>
      <c r="CB9" s="503"/>
      <c r="CC9" s="503"/>
      <c r="CD9" s="503"/>
      <c r="CE9" s="503"/>
    </row>
    <row r="10" spans="1:83" s="365" customFormat="1" ht="18" customHeight="1" x14ac:dyDescent="0.2">
      <c r="A10" s="503"/>
      <c r="B10" s="540" t="str">
        <f>B9</f>
        <v>Electrical</v>
      </c>
      <c r="C10" s="554" t="s">
        <v>43</v>
      </c>
      <c r="D10" s="555">
        <f>COUNTIFS(Rollup_PCA_notes!$L:$L,AUTO_NOTES!$B10,Rollup_PCA_notes!$E:$E,"X")</f>
        <v>0</v>
      </c>
      <c r="E10" s="548" t="e">
        <f t="shared" si="1"/>
        <v>#DIV/0!</v>
      </c>
      <c r="F10" s="556">
        <f>SUMIFS(Rollup_PCA_notes!$J:$J,Rollup_PCA_notes!$L:$L,AUTO_NOTES!$B10,Rollup_PCA_notes!$E:$E,"x")</f>
        <v>0</v>
      </c>
      <c r="G10" s="556">
        <f>SUMIFS(Rollup_PCA_notes!$N:$N,Rollup_PCA_notes!$L:$L,AUTO_NOTES!$B10,Rollup_PCA_notes!$E:$E,"x")</f>
        <v>0</v>
      </c>
      <c r="H10" s="868"/>
      <c r="I10" s="871"/>
      <c r="J10" s="874"/>
      <c r="K10" s="874"/>
      <c r="L10" s="871"/>
      <c r="M10" s="853"/>
      <c r="N10" s="856"/>
      <c r="O10" s="859"/>
      <c r="P10" s="859"/>
      <c r="Q10" s="862"/>
      <c r="R10" s="865"/>
      <c r="S10" s="503"/>
      <c r="T10" s="539"/>
      <c r="U10" s="503"/>
      <c r="V10" s="503"/>
      <c r="W10" s="503"/>
      <c r="X10" s="503"/>
      <c r="Y10" s="503"/>
      <c r="Z10" s="503"/>
      <c r="AA10" s="503"/>
      <c r="AB10" s="503"/>
      <c r="AC10" s="503"/>
      <c r="AD10" s="503"/>
      <c r="AE10" s="503"/>
      <c r="AF10" s="503"/>
      <c r="AG10" s="503"/>
      <c r="AH10" s="503"/>
      <c r="AI10" s="503"/>
      <c r="AJ10" s="503"/>
      <c r="AK10" s="503"/>
      <c r="AL10" s="503"/>
      <c r="AM10" s="503"/>
      <c r="AN10" s="503"/>
      <c r="AO10" s="503"/>
      <c r="AP10" s="503"/>
      <c r="AQ10" s="503"/>
      <c r="AR10" s="503"/>
      <c r="AS10" s="503"/>
      <c r="AT10" s="503"/>
      <c r="AU10" s="503"/>
      <c r="AV10" s="503"/>
      <c r="AW10" s="503"/>
      <c r="AX10" s="503"/>
      <c r="AY10" s="503"/>
      <c r="AZ10" s="503"/>
      <c r="BA10" s="503"/>
      <c r="BB10" s="503"/>
      <c r="BC10" s="503"/>
      <c r="BD10" s="503"/>
      <c r="BE10" s="503"/>
      <c r="BF10" s="503"/>
      <c r="BG10" s="503"/>
      <c r="BH10" s="503"/>
      <c r="BI10" s="503"/>
      <c r="BJ10" s="503"/>
      <c r="BK10" s="503"/>
      <c r="BL10" s="503"/>
      <c r="BM10" s="503"/>
      <c r="BN10" s="503"/>
      <c r="BO10" s="503"/>
      <c r="BP10" s="503"/>
      <c r="BQ10" s="503"/>
      <c r="BR10" s="503"/>
      <c r="BS10" s="503"/>
      <c r="BT10" s="503"/>
      <c r="BU10" s="503"/>
      <c r="BV10" s="503"/>
      <c r="BW10" s="503"/>
      <c r="BX10" s="503"/>
      <c r="BY10" s="503"/>
      <c r="BZ10" s="503"/>
      <c r="CA10" s="503"/>
      <c r="CB10" s="503"/>
      <c r="CC10" s="503"/>
      <c r="CD10" s="503"/>
      <c r="CE10" s="503"/>
    </row>
    <row r="11" spans="1:83" s="365" customFormat="1" ht="18" customHeight="1" x14ac:dyDescent="0.2">
      <c r="A11" s="503"/>
      <c r="B11" s="540" t="str">
        <f>B10</f>
        <v>Electrical</v>
      </c>
      <c r="C11" s="554" t="s">
        <v>890</v>
      </c>
      <c r="D11" s="555">
        <f>COUNTIFS(Rollup_PCA_notes!$L:$L,AUTO_NOTES!$B11,Rollup_PCA_notes!$F:$F,"X")</f>
        <v>0</v>
      </c>
      <c r="E11" s="548" t="e">
        <f t="shared" si="1"/>
        <v>#DIV/0!</v>
      </c>
      <c r="F11" s="556">
        <f>SUMIFS(Rollup_PCA_notes!$J:$J,Rollup_PCA_notes!$L:$L,AUTO_NOTES!$B11,Rollup_PCA_notes!$F:$F,"x")</f>
        <v>0</v>
      </c>
      <c r="G11" s="556">
        <f>SUMIFS(Rollup_PCA_notes!$N:$N,Rollup_PCA_notes!$L:$L,AUTO_NOTES!$B11,Rollup_PCA_notes!$F:$F,"x")</f>
        <v>0</v>
      </c>
      <c r="H11" s="868"/>
      <c r="I11" s="871"/>
      <c r="J11" s="874"/>
      <c r="K11" s="874"/>
      <c r="L11" s="871"/>
      <c r="M11" s="853"/>
      <c r="N11" s="856"/>
      <c r="O11" s="859"/>
      <c r="P11" s="859"/>
      <c r="Q11" s="862"/>
      <c r="R11" s="865"/>
      <c r="S11" s="503"/>
      <c r="T11" s="539"/>
      <c r="U11" s="503"/>
      <c r="V11" s="503"/>
      <c r="W11" s="503"/>
      <c r="X11" s="503"/>
      <c r="Y11" s="503"/>
      <c r="Z11" s="503"/>
      <c r="AA11" s="503"/>
      <c r="AB11" s="503"/>
      <c r="AC11" s="503"/>
      <c r="AD11" s="503"/>
      <c r="AE11" s="503"/>
      <c r="AF11" s="503"/>
      <c r="AG11" s="503"/>
      <c r="AH11" s="503"/>
      <c r="AI11" s="503"/>
      <c r="AJ11" s="503"/>
      <c r="AK11" s="503"/>
      <c r="AL11" s="503"/>
      <c r="AM11" s="503"/>
      <c r="AN11" s="503"/>
      <c r="AO11" s="503"/>
      <c r="AP11" s="503"/>
      <c r="AQ11" s="503"/>
      <c r="AR11" s="503"/>
      <c r="AS11" s="503"/>
      <c r="AT11" s="503"/>
      <c r="AU11" s="503"/>
      <c r="AV11" s="503"/>
      <c r="AW11" s="503"/>
      <c r="AX11" s="503"/>
      <c r="AY11" s="503"/>
      <c r="AZ11" s="503"/>
      <c r="BA11" s="503"/>
      <c r="BB11" s="503"/>
      <c r="BC11" s="503"/>
      <c r="BD11" s="503"/>
      <c r="BE11" s="503"/>
      <c r="BF11" s="503"/>
      <c r="BG11" s="503"/>
      <c r="BH11" s="503"/>
      <c r="BI11" s="503"/>
      <c r="BJ11" s="503"/>
      <c r="BK11" s="503"/>
      <c r="BL11" s="503"/>
      <c r="BM11" s="503"/>
      <c r="BN11" s="503"/>
      <c r="BO11" s="503"/>
      <c r="BP11" s="503"/>
      <c r="BQ11" s="503"/>
      <c r="BR11" s="503"/>
      <c r="BS11" s="503"/>
      <c r="BT11" s="503"/>
      <c r="BU11" s="503"/>
      <c r="BV11" s="503"/>
      <c r="BW11" s="503"/>
      <c r="BX11" s="503"/>
      <c r="BY11" s="503"/>
      <c r="BZ11" s="503"/>
      <c r="CA11" s="503"/>
      <c r="CB11" s="503"/>
      <c r="CC11" s="503"/>
      <c r="CD11" s="503"/>
      <c r="CE11" s="503"/>
    </row>
    <row r="12" spans="1:83" s="365" customFormat="1" ht="18" customHeight="1" x14ac:dyDescent="0.2">
      <c r="A12" s="503"/>
      <c r="B12" s="540" t="str">
        <f>B11</f>
        <v>Electrical</v>
      </c>
      <c r="C12" s="554" t="s">
        <v>45</v>
      </c>
      <c r="D12" s="555">
        <f>COUNTIFS(Rollup_PCA_notes!$L:$L,AUTO_NOTES!$B12,Rollup_PCA_notes!$G:$G,"X")</f>
        <v>0</v>
      </c>
      <c r="E12" s="548" t="e">
        <f t="shared" si="1"/>
        <v>#DIV/0!</v>
      </c>
      <c r="F12" s="556">
        <f>SUMIFS(Rollup_PCA_notes!$J:$J,Rollup_PCA_notes!$L:$L,AUTO_NOTES!$B12,Rollup_PCA_notes!$G:$G,"x")</f>
        <v>0</v>
      </c>
      <c r="G12" s="556">
        <f>SUMIFS(Rollup_PCA_notes!$N:$N,Rollup_PCA_notes!$L:$L,AUTO_NOTES!$B12,Rollup_PCA_notes!$G:$G,"x")</f>
        <v>0</v>
      </c>
      <c r="H12" s="868"/>
      <c r="I12" s="871"/>
      <c r="J12" s="874"/>
      <c r="K12" s="874"/>
      <c r="L12" s="871"/>
      <c r="M12" s="853"/>
      <c r="N12" s="856"/>
      <c r="O12" s="859"/>
      <c r="P12" s="859"/>
      <c r="Q12" s="862"/>
      <c r="R12" s="865"/>
      <c r="S12" s="503"/>
      <c r="T12" s="539"/>
      <c r="U12" s="503"/>
      <c r="V12" s="503"/>
      <c r="W12" s="503"/>
      <c r="X12" s="503"/>
      <c r="Y12" s="503"/>
      <c r="Z12" s="503"/>
      <c r="AA12" s="503"/>
      <c r="AB12" s="503"/>
      <c r="AC12" s="503"/>
      <c r="AD12" s="503"/>
      <c r="AE12" s="503"/>
      <c r="AF12" s="503"/>
      <c r="AG12" s="503"/>
      <c r="AH12" s="503"/>
      <c r="AI12" s="503"/>
      <c r="AJ12" s="503"/>
      <c r="AK12" s="503"/>
      <c r="AL12" s="503"/>
      <c r="AM12" s="503"/>
      <c r="AN12" s="503"/>
      <c r="AO12" s="503"/>
      <c r="AP12" s="503"/>
      <c r="AQ12" s="503"/>
      <c r="AR12" s="503"/>
      <c r="AS12" s="503"/>
      <c r="AT12" s="503"/>
      <c r="AU12" s="503"/>
      <c r="AV12" s="503"/>
      <c r="AW12" s="503"/>
      <c r="AX12" s="503"/>
      <c r="AY12" s="503"/>
      <c r="AZ12" s="503"/>
      <c r="BA12" s="503"/>
      <c r="BB12" s="503"/>
      <c r="BC12" s="503"/>
      <c r="BD12" s="503"/>
      <c r="BE12" s="503"/>
      <c r="BF12" s="503"/>
      <c r="BG12" s="503"/>
      <c r="BH12" s="503"/>
      <c r="BI12" s="503"/>
      <c r="BJ12" s="503"/>
      <c r="BK12" s="503"/>
      <c r="BL12" s="503"/>
      <c r="BM12" s="503"/>
      <c r="BN12" s="503"/>
      <c r="BO12" s="503"/>
      <c r="BP12" s="503"/>
      <c r="BQ12" s="503"/>
      <c r="BR12" s="503"/>
      <c r="BS12" s="503"/>
      <c r="BT12" s="503"/>
      <c r="BU12" s="503"/>
      <c r="BV12" s="503"/>
      <c r="BW12" s="503"/>
      <c r="BX12" s="503"/>
      <c r="BY12" s="503"/>
      <c r="BZ12" s="503"/>
      <c r="CA12" s="503"/>
      <c r="CB12" s="503"/>
      <c r="CC12" s="503"/>
      <c r="CD12" s="503"/>
      <c r="CE12" s="503"/>
    </row>
    <row r="13" spans="1:83" s="365" customFormat="1" ht="18" customHeight="1" thickBot="1" x14ac:dyDescent="0.25">
      <c r="A13" s="503"/>
      <c r="B13" s="541" t="str">
        <f>B12</f>
        <v>Electrical</v>
      </c>
      <c r="C13" s="557" t="s">
        <v>46</v>
      </c>
      <c r="D13" s="558">
        <f>COUNTIFS(Rollup_PCA_notes!$L:$L,AUTO_NOTES!$B13,Rollup_PCA_notes!$H:$H,"X")</f>
        <v>0</v>
      </c>
      <c r="E13" s="549" t="e">
        <f t="shared" si="1"/>
        <v>#DIV/0!</v>
      </c>
      <c r="F13" s="559">
        <f>SUMIFS(Rollup_PCA_notes!$J:$J,Rollup_PCA_notes!$L:$L,AUTO_NOTES!$B13,Rollup_PCA_notes!$H:$H,"x")</f>
        <v>0</v>
      </c>
      <c r="G13" s="559">
        <f>SUMIFS(Rollup_PCA_notes!$N:$N,Rollup_PCA_notes!$L:$L,AUTO_NOTES!$B13,Rollup_PCA_notes!$H:$H,"x")</f>
        <v>0</v>
      </c>
      <c r="H13" s="869"/>
      <c r="I13" s="872"/>
      <c r="J13" s="875"/>
      <c r="K13" s="875"/>
      <c r="L13" s="872"/>
      <c r="M13" s="854"/>
      <c r="N13" s="857"/>
      <c r="O13" s="860"/>
      <c r="P13" s="860"/>
      <c r="Q13" s="863"/>
      <c r="R13" s="866"/>
      <c r="S13" s="503"/>
      <c r="T13" s="539"/>
      <c r="U13" s="503"/>
      <c r="V13" s="503"/>
      <c r="W13" s="503"/>
      <c r="X13" s="503"/>
      <c r="Y13" s="503"/>
      <c r="Z13" s="503"/>
      <c r="AA13" s="503"/>
      <c r="AB13" s="503"/>
      <c r="AC13" s="503"/>
      <c r="AD13" s="503"/>
      <c r="AE13" s="503"/>
      <c r="AF13" s="503"/>
      <c r="AG13" s="503"/>
      <c r="AH13" s="503"/>
      <c r="AI13" s="503"/>
      <c r="AJ13" s="503"/>
      <c r="AK13" s="503"/>
      <c r="AL13" s="503"/>
      <c r="AM13" s="503"/>
      <c r="AN13" s="503"/>
      <c r="AO13" s="503"/>
      <c r="AP13" s="503"/>
      <c r="AQ13" s="503"/>
      <c r="AR13" s="503"/>
      <c r="AS13" s="503"/>
      <c r="AT13" s="503"/>
      <c r="AU13" s="503"/>
      <c r="AV13" s="503"/>
      <c r="AW13" s="503"/>
      <c r="AX13" s="503"/>
      <c r="AY13" s="503"/>
      <c r="AZ13" s="503"/>
      <c r="BA13" s="503"/>
      <c r="BB13" s="503"/>
      <c r="BC13" s="503"/>
      <c r="BD13" s="503"/>
      <c r="BE13" s="503"/>
      <c r="BF13" s="503"/>
      <c r="BG13" s="503"/>
      <c r="BH13" s="503"/>
      <c r="BI13" s="503"/>
      <c r="BJ13" s="503"/>
      <c r="BK13" s="503"/>
      <c r="BL13" s="503"/>
      <c r="BM13" s="503"/>
      <c r="BN13" s="503"/>
      <c r="BO13" s="503"/>
      <c r="BP13" s="503"/>
      <c r="BQ13" s="503"/>
      <c r="BR13" s="503"/>
      <c r="BS13" s="503"/>
      <c r="BT13" s="503"/>
      <c r="BU13" s="503"/>
      <c r="BV13" s="503"/>
      <c r="BW13" s="503"/>
      <c r="BX13" s="503"/>
      <c r="BY13" s="503"/>
      <c r="BZ13" s="503"/>
      <c r="CA13" s="503"/>
      <c r="CB13" s="503"/>
      <c r="CC13" s="503"/>
      <c r="CD13" s="503"/>
      <c r="CE13" s="503"/>
    </row>
    <row r="14" spans="1:83" s="365" customFormat="1" ht="18" customHeight="1" x14ac:dyDescent="0.2">
      <c r="A14" s="503"/>
      <c r="B14" s="538" t="s">
        <v>100</v>
      </c>
      <c r="C14" s="551" t="s">
        <v>41</v>
      </c>
      <c r="D14" s="552">
        <f>COUNTIFS(Rollup_PCA_notes!$L:$L,AUTO_NOTES!$B14,Rollup_PCA_notes!$C:$C,"X")</f>
        <v>0</v>
      </c>
      <c r="E14" s="547" t="e">
        <f t="shared" ref="E14:E19" si="7">D14/SUM(D$14:D$19)</f>
        <v>#DIV/0!</v>
      </c>
      <c r="F14" s="553">
        <f>SUMIFS(Rollup_PCA_notes!$J:$J,Rollup_PCA_notes!$L:$L,AUTO_NOTES!$B14,Rollup_PCA_notes!$C:$C,"x")</f>
        <v>0</v>
      </c>
      <c r="G14" s="553">
        <f>SUMIFS(Rollup_PCA_notes!$N:$N,Rollup_PCA_notes!$L:$L,AUTO_NOTES!$B14,Rollup_PCA_notes!$C:$C,"x")</f>
        <v>0</v>
      </c>
      <c r="H14" s="867">
        <f t="shared" ref="H14" si="8">IF(SUM(D17:D19)=0,0,(SUM(D17:D19)/SUM(D14:D19)))</f>
        <v>0</v>
      </c>
      <c r="I14" s="870" t="e">
        <f t="shared" ref="I14" si="9">SUM(F14:F19)/SUM(G14:G19)</f>
        <v>#DIV/0!</v>
      </c>
      <c r="J14" s="873" t="str">
        <f t="shared" ref="J14" si="10">IF(H14=0,"None",ROUNDDOWN((H14*100),0)&amp;"%")</f>
        <v>None</v>
      </c>
      <c r="K14" s="873" t="str">
        <f t="shared" ref="K14" si="11">IF(SUM(D15:D19)=0,"&lt;1%",IF(I14&lt;0.01,"&lt;1%",ROUNDDOWN((I14*100),0)&amp;"%"))</f>
        <v>&lt;1%</v>
      </c>
      <c r="L14" s="870" t="str">
        <f t="shared" ref="L14" si="12">IF(SUM(D15:D19)=0,"Green",IF(I14&gt;0.5,"Red",IF(I14&gt;0.01,"Yellow",IF(SUM(D16:D19)&gt;0,"Yellow","Green"))))</f>
        <v>Green</v>
      </c>
      <c r="M14" s="852" t="str">
        <f>IF(J14="None",$N14,$J14&amp;" "&amp;"of this system requires major renovation or replacement,"&amp;" "&amp;"including"&amp;" "&amp;$O14&amp;"  "&amp;"  "&amp;P14&amp;"  "&amp;"The cost to address identified needs is"&amp;" "&amp;$K14&amp;" "&amp;"of estimated cost to replace them, indicating"&amp;" "&amp;IF($L14="Red","need for systematic major renovations or replacements.",IF($L14="Yellow","need for significant renovations and potentially isolated replacements.",IF($L14="Green","need for regular maintenance and repairs.","error"))))</f>
        <v>None of this system requires major renovation or replacement.   The cost to address identified needs is  &lt;1% of estimated cost to replace them, indicating need for regular maintenance and repairs.</v>
      </c>
      <c r="N14" s="855" t="str">
        <f>$J14&amp;" "&amp;"of this system requires major renovation or replacement."&amp;" "&amp;" "&amp;P14&amp;" "&amp;"The cost to address identified needs is"&amp;"  "&amp;$K14&amp;" "&amp;"of estimated cost to replace them, indicating"&amp;" "&amp;IF($L14="Red","need for systematic major renovations or replacements.",IF($L14="Yellow","need for significant renovations and potentially isolated replacements.",IF($L14="Green","need for regular maintenance and repairs.","error")))</f>
        <v>None of this system requires major renovation or replacement.   The cost to address identified needs is  &lt;1% of estimated cost to replace them, indicating need for regular maintenance and repairs.</v>
      </c>
      <c r="O14" s="858" t="str" cm="1">
        <f t="array" ref="O14">_xlfn.TEXTJOIN(" ",TRUE,IF(Rollup_PCA_notes!$L:$L=AUTO_NOTES!$B14,Rollup_PCA_notes!$R:$R,""))</f>
        <v/>
      </c>
      <c r="P14" s="858" t="str" cm="1">
        <f t="array" ref="P14">_xlfn.TEXTJOIN(" ",TRUE,IF(Rollup_PCA_notes!$L:$L=AUTO_NOTES!$B14,Rollup_PCA_notes!$S:$S,""))</f>
        <v/>
      </c>
      <c r="Q14" s="861" t="str" cm="1">
        <f t="array" ref="Q14">_xlfn.TEXTJOIN(" ",TRUE,IF(Rollup_PCA_notes!$L:$L=AUTO_NOTES!$B14,Rollup_PCA_notes!$K:$K,""))</f>
        <v>0 0 0 0 0 0</v>
      </c>
      <c r="R14" s="864"/>
      <c r="S14" s="503"/>
      <c r="T14" s="539"/>
      <c r="U14" s="503"/>
      <c r="V14" s="503"/>
      <c r="W14" s="503"/>
      <c r="X14" s="503"/>
      <c r="Y14" s="503"/>
      <c r="Z14" s="503"/>
      <c r="AA14" s="503"/>
      <c r="AB14" s="503"/>
      <c r="AC14" s="503"/>
      <c r="AD14" s="503"/>
      <c r="AE14" s="503"/>
      <c r="AF14" s="503"/>
      <c r="AG14" s="503"/>
      <c r="AH14" s="503"/>
      <c r="AI14" s="503"/>
      <c r="AJ14" s="503"/>
      <c r="AK14" s="503"/>
      <c r="AL14" s="503"/>
      <c r="AM14" s="503"/>
      <c r="AN14" s="503"/>
      <c r="AO14" s="503"/>
      <c r="AP14" s="503"/>
      <c r="AQ14" s="503"/>
      <c r="AR14" s="503"/>
      <c r="AS14" s="503"/>
      <c r="AT14" s="503"/>
      <c r="AU14" s="503"/>
      <c r="AV14" s="503"/>
      <c r="AW14" s="503"/>
      <c r="AX14" s="503"/>
      <c r="AY14" s="503"/>
      <c r="AZ14" s="503"/>
      <c r="BA14" s="503"/>
      <c r="BB14" s="503"/>
      <c r="BC14" s="503"/>
      <c r="BD14" s="503"/>
      <c r="BE14" s="503"/>
      <c r="BF14" s="503"/>
      <c r="BG14" s="503"/>
      <c r="BH14" s="503"/>
      <c r="BI14" s="503"/>
      <c r="BJ14" s="503"/>
      <c r="BK14" s="503"/>
      <c r="BL14" s="503"/>
      <c r="BM14" s="503"/>
      <c r="BN14" s="503"/>
      <c r="BO14" s="503"/>
      <c r="BP14" s="503"/>
      <c r="BQ14" s="503"/>
      <c r="BR14" s="503"/>
      <c r="BS14" s="503"/>
      <c r="BT14" s="503"/>
      <c r="BU14" s="503"/>
      <c r="BV14" s="503"/>
      <c r="BW14" s="503"/>
      <c r="BX14" s="503"/>
      <c r="BY14" s="503"/>
      <c r="BZ14" s="503"/>
      <c r="CA14" s="503"/>
      <c r="CB14" s="503"/>
      <c r="CC14" s="503"/>
      <c r="CD14" s="503"/>
      <c r="CE14" s="503"/>
    </row>
    <row r="15" spans="1:83" s="365" customFormat="1" ht="18" customHeight="1" x14ac:dyDescent="0.2">
      <c r="A15" s="503"/>
      <c r="B15" s="540" t="str">
        <f>B14</f>
        <v>Exterior Structure</v>
      </c>
      <c r="C15" s="554" t="s">
        <v>889</v>
      </c>
      <c r="D15" s="555">
        <f>COUNTIFS(Rollup_PCA_notes!$L:$L,AUTO_NOTES!$B15,Rollup_PCA_notes!$D:$D,"X")</f>
        <v>0</v>
      </c>
      <c r="E15" s="548" t="e">
        <f t="shared" si="7"/>
        <v>#DIV/0!</v>
      </c>
      <c r="F15" s="556">
        <f>SUMIFS(Rollup_PCA_notes!$J:$J,Rollup_PCA_notes!$L:$L,AUTO_NOTES!$B15,Rollup_PCA_notes!$D:$D,"x")</f>
        <v>0</v>
      </c>
      <c r="G15" s="556">
        <f>SUMIFS(Rollup_PCA_notes!$N:$N,Rollup_PCA_notes!$L:$L,AUTO_NOTES!$B15,Rollup_PCA_notes!$D:$D,"x")</f>
        <v>0</v>
      </c>
      <c r="H15" s="868"/>
      <c r="I15" s="871"/>
      <c r="J15" s="874"/>
      <c r="K15" s="874"/>
      <c r="L15" s="871"/>
      <c r="M15" s="853"/>
      <c r="N15" s="856"/>
      <c r="O15" s="859"/>
      <c r="P15" s="859"/>
      <c r="Q15" s="862"/>
      <c r="R15" s="865"/>
      <c r="S15" s="503"/>
      <c r="T15" s="539"/>
      <c r="U15" s="503"/>
      <c r="V15" s="503"/>
      <c r="W15" s="503"/>
      <c r="X15" s="503"/>
      <c r="Y15" s="503"/>
      <c r="Z15" s="503"/>
      <c r="AA15" s="503"/>
      <c r="AB15" s="503"/>
      <c r="AC15" s="503"/>
      <c r="AD15" s="503"/>
      <c r="AE15" s="503"/>
      <c r="AF15" s="503"/>
      <c r="AG15" s="503"/>
      <c r="AH15" s="503"/>
      <c r="AI15" s="503"/>
      <c r="AJ15" s="503"/>
      <c r="AK15" s="503"/>
      <c r="AL15" s="503"/>
      <c r="AM15" s="503"/>
      <c r="AN15" s="503"/>
      <c r="AO15" s="503"/>
      <c r="AP15" s="503"/>
      <c r="AQ15" s="503"/>
      <c r="AR15" s="503"/>
      <c r="AS15" s="503"/>
      <c r="AT15" s="503"/>
      <c r="AU15" s="503"/>
      <c r="AV15" s="503"/>
      <c r="AW15" s="503"/>
      <c r="AX15" s="503"/>
      <c r="AY15" s="503"/>
      <c r="AZ15" s="503"/>
      <c r="BA15" s="503"/>
      <c r="BB15" s="503"/>
      <c r="BC15" s="503"/>
      <c r="BD15" s="503"/>
      <c r="BE15" s="503"/>
      <c r="BF15" s="503"/>
      <c r="BG15" s="503"/>
      <c r="BH15" s="503"/>
      <c r="BI15" s="503"/>
      <c r="BJ15" s="503"/>
      <c r="BK15" s="503"/>
      <c r="BL15" s="503"/>
      <c r="BM15" s="503"/>
      <c r="BN15" s="503"/>
      <c r="BO15" s="503"/>
      <c r="BP15" s="503"/>
      <c r="BQ15" s="503"/>
      <c r="BR15" s="503"/>
      <c r="BS15" s="503"/>
      <c r="BT15" s="503"/>
      <c r="BU15" s="503"/>
      <c r="BV15" s="503"/>
      <c r="BW15" s="503"/>
      <c r="BX15" s="503"/>
      <c r="BY15" s="503"/>
      <c r="BZ15" s="503"/>
      <c r="CA15" s="503"/>
      <c r="CB15" s="503"/>
      <c r="CC15" s="503"/>
      <c r="CD15" s="503"/>
      <c r="CE15" s="503"/>
    </row>
    <row r="16" spans="1:83" s="365" customFormat="1" ht="18" customHeight="1" x14ac:dyDescent="0.2">
      <c r="A16" s="503"/>
      <c r="B16" s="540" t="str">
        <f>B15</f>
        <v>Exterior Structure</v>
      </c>
      <c r="C16" s="554" t="s">
        <v>43</v>
      </c>
      <c r="D16" s="555">
        <f>COUNTIFS(Rollup_PCA_notes!$L:$L,AUTO_NOTES!$B16,Rollup_PCA_notes!$E:$E,"X")</f>
        <v>0</v>
      </c>
      <c r="E16" s="548" t="e">
        <f t="shared" si="7"/>
        <v>#DIV/0!</v>
      </c>
      <c r="F16" s="556">
        <f>SUMIFS(Rollup_PCA_notes!$J:$J,Rollup_PCA_notes!$L:$L,AUTO_NOTES!$B16,Rollup_PCA_notes!$E:$E,"x")</f>
        <v>0</v>
      </c>
      <c r="G16" s="556">
        <f>SUMIFS(Rollup_PCA_notes!$N:$N,Rollup_PCA_notes!$L:$L,AUTO_NOTES!$B16,Rollup_PCA_notes!$E:$E,"x")</f>
        <v>0</v>
      </c>
      <c r="H16" s="868"/>
      <c r="I16" s="871"/>
      <c r="J16" s="874"/>
      <c r="K16" s="874"/>
      <c r="L16" s="871"/>
      <c r="M16" s="853"/>
      <c r="N16" s="856"/>
      <c r="O16" s="859"/>
      <c r="P16" s="859"/>
      <c r="Q16" s="862"/>
      <c r="R16" s="865"/>
      <c r="S16" s="503"/>
      <c r="T16" s="539"/>
      <c r="U16" s="503"/>
      <c r="V16" s="503"/>
      <c r="W16" s="503"/>
      <c r="X16" s="503"/>
      <c r="Y16" s="503"/>
      <c r="Z16" s="503"/>
      <c r="AA16" s="503"/>
      <c r="AB16" s="503"/>
      <c r="AC16" s="503"/>
      <c r="AD16" s="503"/>
      <c r="AE16" s="503"/>
      <c r="AF16" s="503"/>
      <c r="AG16" s="503"/>
      <c r="AH16" s="503"/>
      <c r="AI16" s="503"/>
      <c r="AJ16" s="503"/>
      <c r="AK16" s="503"/>
      <c r="AL16" s="503"/>
      <c r="AM16" s="503"/>
      <c r="AN16" s="503"/>
      <c r="AO16" s="503"/>
      <c r="AP16" s="503"/>
      <c r="AQ16" s="503"/>
      <c r="AR16" s="503"/>
      <c r="AS16" s="503"/>
      <c r="AT16" s="503"/>
      <c r="AU16" s="503"/>
      <c r="AV16" s="503"/>
      <c r="AW16" s="503"/>
      <c r="AX16" s="503"/>
      <c r="AY16" s="503"/>
      <c r="AZ16" s="503"/>
      <c r="BA16" s="503"/>
      <c r="BB16" s="503"/>
      <c r="BC16" s="503"/>
      <c r="BD16" s="503"/>
      <c r="BE16" s="503"/>
      <c r="BF16" s="503"/>
      <c r="BG16" s="503"/>
      <c r="BH16" s="503"/>
      <c r="BI16" s="503"/>
      <c r="BJ16" s="503"/>
      <c r="BK16" s="503"/>
      <c r="BL16" s="503"/>
      <c r="BM16" s="503"/>
      <c r="BN16" s="503"/>
      <c r="BO16" s="503"/>
      <c r="BP16" s="503"/>
      <c r="BQ16" s="503"/>
      <c r="BR16" s="503"/>
      <c r="BS16" s="503"/>
      <c r="BT16" s="503"/>
      <c r="BU16" s="503"/>
      <c r="BV16" s="503"/>
      <c r="BW16" s="503"/>
      <c r="BX16" s="503"/>
      <c r="BY16" s="503"/>
      <c r="BZ16" s="503"/>
      <c r="CA16" s="503"/>
      <c r="CB16" s="503"/>
      <c r="CC16" s="503"/>
      <c r="CD16" s="503"/>
      <c r="CE16" s="503"/>
    </row>
    <row r="17" spans="1:83" s="365" customFormat="1" ht="18" customHeight="1" x14ac:dyDescent="0.2">
      <c r="A17" s="503"/>
      <c r="B17" s="540" t="str">
        <f>B16</f>
        <v>Exterior Structure</v>
      </c>
      <c r="C17" s="554" t="s">
        <v>890</v>
      </c>
      <c r="D17" s="555">
        <f>COUNTIFS(Rollup_PCA_notes!$L:$L,AUTO_NOTES!$B17,Rollup_PCA_notes!$F:$F,"X")</f>
        <v>0</v>
      </c>
      <c r="E17" s="548" t="e">
        <f t="shared" si="7"/>
        <v>#DIV/0!</v>
      </c>
      <c r="F17" s="556">
        <f>SUMIFS(Rollup_PCA_notes!$J:$J,Rollup_PCA_notes!$L:$L,AUTO_NOTES!$B17,Rollup_PCA_notes!$F:$F,"x")</f>
        <v>0</v>
      </c>
      <c r="G17" s="556">
        <f>SUMIFS(Rollup_PCA_notes!$N:$N,Rollup_PCA_notes!$L:$L,AUTO_NOTES!$B17,Rollup_PCA_notes!$F:$F,"x")</f>
        <v>0</v>
      </c>
      <c r="H17" s="868"/>
      <c r="I17" s="871"/>
      <c r="J17" s="874"/>
      <c r="K17" s="874"/>
      <c r="L17" s="871"/>
      <c r="M17" s="853"/>
      <c r="N17" s="856"/>
      <c r="O17" s="859"/>
      <c r="P17" s="859"/>
      <c r="Q17" s="862"/>
      <c r="R17" s="865"/>
      <c r="S17" s="503"/>
      <c r="T17" s="539"/>
      <c r="U17" s="503"/>
      <c r="V17" s="503"/>
      <c r="W17" s="503"/>
      <c r="X17" s="503"/>
      <c r="Y17" s="503"/>
      <c r="Z17" s="503"/>
      <c r="AA17" s="503"/>
      <c r="AB17" s="503"/>
      <c r="AC17" s="503"/>
      <c r="AD17" s="503"/>
      <c r="AE17" s="503"/>
      <c r="AF17" s="503"/>
      <c r="AG17" s="503"/>
      <c r="AH17" s="503"/>
      <c r="AI17" s="503"/>
      <c r="AJ17" s="503"/>
      <c r="AK17" s="503"/>
      <c r="AL17" s="503"/>
      <c r="AM17" s="503"/>
      <c r="AN17" s="503"/>
      <c r="AO17" s="503"/>
      <c r="AP17" s="503"/>
      <c r="AQ17" s="503"/>
      <c r="AR17" s="503"/>
      <c r="AS17" s="503"/>
      <c r="AT17" s="503"/>
      <c r="AU17" s="503"/>
      <c r="AV17" s="503"/>
      <c r="AW17" s="503"/>
      <c r="AX17" s="503"/>
      <c r="AY17" s="503"/>
      <c r="AZ17" s="503"/>
      <c r="BA17" s="503"/>
      <c r="BB17" s="503"/>
      <c r="BC17" s="503"/>
      <c r="BD17" s="503"/>
      <c r="BE17" s="503"/>
      <c r="BF17" s="503"/>
      <c r="BG17" s="503"/>
      <c r="BH17" s="503"/>
      <c r="BI17" s="503"/>
      <c r="BJ17" s="503"/>
      <c r="BK17" s="503"/>
      <c r="BL17" s="503"/>
      <c r="BM17" s="503"/>
      <c r="BN17" s="503"/>
      <c r="BO17" s="503"/>
      <c r="BP17" s="503"/>
      <c r="BQ17" s="503"/>
      <c r="BR17" s="503"/>
      <c r="BS17" s="503"/>
      <c r="BT17" s="503"/>
      <c r="BU17" s="503"/>
      <c r="BV17" s="503"/>
      <c r="BW17" s="503"/>
      <c r="BX17" s="503"/>
      <c r="BY17" s="503"/>
      <c r="BZ17" s="503"/>
      <c r="CA17" s="503"/>
      <c r="CB17" s="503"/>
      <c r="CC17" s="503"/>
      <c r="CD17" s="503"/>
      <c r="CE17" s="503"/>
    </row>
    <row r="18" spans="1:83" s="365" customFormat="1" ht="18" customHeight="1" x14ac:dyDescent="0.2">
      <c r="A18" s="503"/>
      <c r="B18" s="540" t="str">
        <f>B17</f>
        <v>Exterior Structure</v>
      </c>
      <c r="C18" s="554" t="s">
        <v>45</v>
      </c>
      <c r="D18" s="555">
        <f>COUNTIFS(Rollup_PCA_notes!$L:$L,AUTO_NOTES!$B18,Rollup_PCA_notes!$G:$G,"X")</f>
        <v>0</v>
      </c>
      <c r="E18" s="548" t="e">
        <f t="shared" si="7"/>
        <v>#DIV/0!</v>
      </c>
      <c r="F18" s="556">
        <f>SUMIFS(Rollup_PCA_notes!$J:$J,Rollup_PCA_notes!$L:$L,AUTO_NOTES!$B18,Rollup_PCA_notes!$G:$G,"x")</f>
        <v>0</v>
      </c>
      <c r="G18" s="556">
        <f>SUMIFS(Rollup_PCA_notes!$N:$N,Rollup_PCA_notes!$L:$L,AUTO_NOTES!$B18,Rollup_PCA_notes!$G:$G,"x")</f>
        <v>0</v>
      </c>
      <c r="H18" s="868"/>
      <c r="I18" s="871"/>
      <c r="J18" s="874"/>
      <c r="K18" s="874"/>
      <c r="L18" s="871"/>
      <c r="M18" s="853"/>
      <c r="N18" s="856"/>
      <c r="O18" s="859"/>
      <c r="P18" s="859"/>
      <c r="Q18" s="862"/>
      <c r="R18" s="865"/>
      <c r="S18" s="503"/>
      <c r="T18" s="539"/>
      <c r="U18" s="503"/>
      <c r="V18" s="503"/>
      <c r="W18" s="503"/>
      <c r="X18" s="503"/>
      <c r="Y18" s="503"/>
      <c r="Z18" s="503"/>
      <c r="AA18" s="503"/>
      <c r="AB18" s="503"/>
      <c r="AC18" s="503"/>
      <c r="AD18" s="503"/>
      <c r="AE18" s="503"/>
      <c r="AF18" s="503"/>
      <c r="AG18" s="503"/>
      <c r="AH18" s="503"/>
      <c r="AI18" s="503"/>
      <c r="AJ18" s="503"/>
      <c r="AK18" s="503"/>
      <c r="AL18" s="503"/>
      <c r="AM18" s="503"/>
      <c r="AN18" s="503"/>
      <c r="AO18" s="503"/>
      <c r="AP18" s="503"/>
      <c r="AQ18" s="503"/>
      <c r="AR18" s="503"/>
      <c r="AS18" s="503"/>
      <c r="AT18" s="503"/>
      <c r="AU18" s="503"/>
      <c r="AV18" s="503"/>
      <c r="AW18" s="503"/>
      <c r="AX18" s="503"/>
      <c r="AY18" s="503"/>
      <c r="AZ18" s="503"/>
      <c r="BA18" s="503"/>
      <c r="BB18" s="503"/>
      <c r="BC18" s="503"/>
      <c r="BD18" s="503"/>
      <c r="BE18" s="503"/>
      <c r="BF18" s="503"/>
      <c r="BG18" s="503"/>
      <c r="BH18" s="503"/>
      <c r="BI18" s="503"/>
      <c r="BJ18" s="503"/>
      <c r="BK18" s="503"/>
      <c r="BL18" s="503"/>
      <c r="BM18" s="503"/>
      <c r="BN18" s="503"/>
      <c r="BO18" s="503"/>
      <c r="BP18" s="503"/>
      <c r="BQ18" s="503"/>
      <c r="BR18" s="503"/>
      <c r="BS18" s="503"/>
      <c r="BT18" s="503"/>
      <c r="BU18" s="503"/>
      <c r="BV18" s="503"/>
      <c r="BW18" s="503"/>
      <c r="BX18" s="503"/>
      <c r="BY18" s="503"/>
      <c r="BZ18" s="503"/>
      <c r="CA18" s="503"/>
      <c r="CB18" s="503"/>
      <c r="CC18" s="503"/>
      <c r="CD18" s="503"/>
      <c r="CE18" s="503"/>
    </row>
    <row r="19" spans="1:83" s="365" customFormat="1" ht="18" customHeight="1" thickBot="1" x14ac:dyDescent="0.25">
      <c r="A19" s="503"/>
      <c r="B19" s="541" t="str">
        <f>B18</f>
        <v>Exterior Structure</v>
      </c>
      <c r="C19" s="557" t="s">
        <v>46</v>
      </c>
      <c r="D19" s="558">
        <f>COUNTIFS(Rollup_PCA_notes!$L:$L,AUTO_NOTES!$B19,Rollup_PCA_notes!$H:$H,"X")</f>
        <v>0</v>
      </c>
      <c r="E19" s="549" t="e">
        <f t="shared" si="7"/>
        <v>#DIV/0!</v>
      </c>
      <c r="F19" s="559">
        <f>SUMIFS(Rollup_PCA_notes!$J:$J,Rollup_PCA_notes!$L:$L,AUTO_NOTES!$B19,Rollup_PCA_notes!$H:$H,"x")</f>
        <v>0</v>
      </c>
      <c r="G19" s="559">
        <f>SUMIFS(Rollup_PCA_notes!$N:$N,Rollup_PCA_notes!$L:$L,AUTO_NOTES!$B19,Rollup_PCA_notes!$H:$H,"x")</f>
        <v>0</v>
      </c>
      <c r="H19" s="869"/>
      <c r="I19" s="872"/>
      <c r="J19" s="875"/>
      <c r="K19" s="875"/>
      <c r="L19" s="872"/>
      <c r="M19" s="854"/>
      <c r="N19" s="857"/>
      <c r="O19" s="860"/>
      <c r="P19" s="860"/>
      <c r="Q19" s="863"/>
      <c r="R19" s="866"/>
      <c r="S19" s="503"/>
      <c r="T19" s="539"/>
      <c r="U19" s="503"/>
      <c r="V19" s="503"/>
      <c r="W19" s="503"/>
      <c r="X19" s="503"/>
      <c r="Y19" s="503"/>
      <c r="Z19" s="503"/>
      <c r="AA19" s="503"/>
      <c r="AB19" s="503"/>
      <c r="AC19" s="503"/>
      <c r="AD19" s="503"/>
      <c r="AE19" s="503"/>
      <c r="AF19" s="503"/>
      <c r="AG19" s="503"/>
      <c r="AH19" s="503"/>
      <c r="AI19" s="503"/>
      <c r="AJ19" s="503"/>
      <c r="AK19" s="503"/>
      <c r="AL19" s="503"/>
      <c r="AM19" s="503"/>
      <c r="AN19" s="503"/>
      <c r="AO19" s="503"/>
      <c r="AP19" s="503"/>
      <c r="AQ19" s="503"/>
      <c r="AR19" s="503"/>
      <c r="AS19" s="503"/>
      <c r="AT19" s="503"/>
      <c r="AU19" s="503"/>
      <c r="AV19" s="503"/>
      <c r="AW19" s="503"/>
      <c r="AX19" s="503"/>
      <c r="AY19" s="503"/>
      <c r="AZ19" s="503"/>
      <c r="BA19" s="503"/>
      <c r="BB19" s="503"/>
      <c r="BC19" s="503"/>
      <c r="BD19" s="503"/>
      <c r="BE19" s="503"/>
      <c r="BF19" s="503"/>
      <c r="BG19" s="503"/>
      <c r="BH19" s="503"/>
      <c r="BI19" s="503"/>
      <c r="BJ19" s="503"/>
      <c r="BK19" s="503"/>
      <c r="BL19" s="503"/>
      <c r="BM19" s="503"/>
      <c r="BN19" s="503"/>
      <c r="BO19" s="503"/>
      <c r="BP19" s="503"/>
      <c r="BQ19" s="503"/>
      <c r="BR19" s="503"/>
      <c r="BS19" s="503"/>
      <c r="BT19" s="503"/>
      <c r="BU19" s="503"/>
      <c r="BV19" s="503"/>
      <c r="BW19" s="503"/>
      <c r="BX19" s="503"/>
      <c r="BY19" s="503"/>
      <c r="BZ19" s="503"/>
      <c r="CA19" s="503"/>
      <c r="CB19" s="503"/>
      <c r="CC19" s="503"/>
      <c r="CD19" s="503"/>
      <c r="CE19" s="503"/>
    </row>
    <row r="20" spans="1:83" s="365" customFormat="1" ht="18" customHeight="1" x14ac:dyDescent="0.2">
      <c r="A20" s="503"/>
      <c r="B20" s="538" t="s">
        <v>114</v>
      </c>
      <c r="C20" s="551" t="s">
        <v>41</v>
      </c>
      <c r="D20" s="552">
        <f>COUNTIFS(Rollup_PCA_notes!$L:$L,AUTO_NOTES!$B20,Rollup_PCA_notes!$C:$C,"X")</f>
        <v>0</v>
      </c>
      <c r="E20" s="547" t="e">
        <f t="shared" ref="E20:E25" si="13">D20/SUM(D$20:D$25)</f>
        <v>#DIV/0!</v>
      </c>
      <c r="F20" s="553">
        <f>SUMIFS(Rollup_PCA_notes!$J:$J,Rollup_PCA_notes!$L:$L,AUTO_NOTES!$B20,Rollup_PCA_notes!$C:$C,"x")</f>
        <v>0</v>
      </c>
      <c r="G20" s="553">
        <f>SUMIFS(Rollup_PCA_notes!$N:$N,Rollup_PCA_notes!$L:$L,AUTO_NOTES!$B20,Rollup_PCA_notes!$C:$C,"x")</f>
        <v>0</v>
      </c>
      <c r="H20" s="867">
        <f t="shared" ref="H20" si="14">IF(SUM(D23:D25)=0,0,(SUM(D23:D25)/SUM(D20:D25)))</f>
        <v>0</v>
      </c>
      <c r="I20" s="870" t="e">
        <f t="shared" ref="I20" si="15">SUM(F20:F25)/SUM(G20:G25)</f>
        <v>#DIV/0!</v>
      </c>
      <c r="J20" s="873" t="str">
        <f t="shared" ref="J20" si="16">IF(H20=0,"None",ROUNDDOWN((H20*100),0)&amp;"%")</f>
        <v>None</v>
      </c>
      <c r="K20" s="873" t="str">
        <f t="shared" ref="K20" si="17">IF(SUM(D21:D25)=0,"&lt;1%",IF(I20&lt;0.01,"&lt;1%",ROUNDDOWN((I20*100),0)&amp;"%"))</f>
        <v>&lt;1%</v>
      </c>
      <c r="L20" s="870" t="str">
        <f t="shared" ref="L20" si="18">IF(SUM(D21:D25)=0,"Green",IF(I20&gt;0.5,"Red",IF(I20&gt;0.01,"Yellow",IF(SUM(D22:D25)&gt;0,"Yellow","Green"))))</f>
        <v>Green</v>
      </c>
      <c r="M20" s="852" t="str">
        <f>IF(J20="None",$N20,$J20&amp;" "&amp;"of this system requires major renovation or replacement,"&amp;" "&amp;"including"&amp;" "&amp;$O20&amp;"  "&amp;"  "&amp;P20&amp;"  "&amp;"The cost to address identified needs is"&amp;" "&amp;$K20&amp;" "&amp;"of estimated cost to replace them, indicating"&amp;" "&amp;IF($L20="Red","need for systematic major renovations or replacements.",IF($L20="Yellow","need for significant renovations and potentially isolated replacements.",IF($L20="Green","need for regular maintenance and repairs.","error"))))</f>
        <v>None of this system requires major renovation or replacement.   The cost to address identified needs is  &lt;1% of estimated cost to replace them, indicating need for regular maintenance and repairs.</v>
      </c>
      <c r="N20" s="855" t="str">
        <f>$J20&amp;" "&amp;"of this system requires major renovation or replacement."&amp;" "&amp;" "&amp;P20&amp;" "&amp;"The cost to address identified needs is"&amp;"  "&amp;$K20&amp;" "&amp;"of estimated cost to replace them, indicating"&amp;" "&amp;IF($L20="Red","need for systematic major renovations or replacements.",IF($L20="Yellow","need for significant renovations and potentially isolated replacements.",IF($L20="Green","need for regular maintenance and repairs.","error")))</f>
        <v>None of this system requires major renovation or replacement.   The cost to address identified needs is  &lt;1% of estimated cost to replace them, indicating need for regular maintenance and repairs.</v>
      </c>
      <c r="O20" s="858" t="str" cm="1">
        <f t="array" ref="O20">_xlfn.TEXTJOIN(" ",TRUE,IF(Rollup_PCA_notes!$L:$L=AUTO_NOTES!$B20,Rollup_PCA_notes!$R:$R,""))</f>
        <v/>
      </c>
      <c r="P20" s="858" t="str" cm="1">
        <f t="array" ref="P20">_xlfn.TEXTJOIN(" ",TRUE,IF(Rollup_PCA_notes!$L:$L=AUTO_NOTES!$B20,Rollup_PCA_notes!$S:$S,""))</f>
        <v/>
      </c>
      <c r="Q20" s="861" t="str" cm="1">
        <f t="array" ref="Q20">_xlfn.TEXTJOIN(" ",TRUE,IF(Rollup_PCA_notes!$L:$L=AUTO_NOTES!$B20,Rollup_PCA_notes!$K:$K,""))</f>
        <v>0 0 0 0 0 0 0</v>
      </c>
      <c r="R20" s="864"/>
      <c r="S20" s="503"/>
      <c r="T20" s="539"/>
      <c r="U20" s="503"/>
      <c r="V20" s="503"/>
      <c r="W20" s="503"/>
      <c r="X20" s="503"/>
      <c r="Y20" s="503"/>
      <c r="Z20" s="503"/>
      <c r="AA20" s="503"/>
      <c r="AB20" s="503"/>
      <c r="AC20" s="503"/>
      <c r="AD20" s="503"/>
      <c r="AE20" s="503"/>
      <c r="AF20" s="503"/>
      <c r="AG20" s="503"/>
      <c r="AH20" s="503"/>
      <c r="AI20" s="503"/>
      <c r="AJ20" s="503"/>
      <c r="AK20" s="503"/>
      <c r="AL20" s="503"/>
      <c r="AM20" s="503"/>
      <c r="AN20" s="503"/>
      <c r="AO20" s="503"/>
      <c r="AP20" s="503"/>
      <c r="AQ20" s="503"/>
      <c r="AR20" s="503"/>
      <c r="AS20" s="503"/>
      <c r="AT20" s="503"/>
      <c r="AU20" s="503"/>
      <c r="AV20" s="503"/>
      <c r="AW20" s="503"/>
      <c r="AX20" s="503"/>
      <c r="AY20" s="503"/>
      <c r="AZ20" s="503"/>
      <c r="BA20" s="503"/>
      <c r="BB20" s="503"/>
      <c r="BC20" s="503"/>
      <c r="BD20" s="503"/>
      <c r="BE20" s="503"/>
      <c r="BF20" s="503"/>
      <c r="BG20" s="503"/>
      <c r="BH20" s="503"/>
      <c r="BI20" s="503"/>
      <c r="BJ20" s="503"/>
      <c r="BK20" s="503"/>
      <c r="BL20" s="503"/>
      <c r="BM20" s="503"/>
      <c r="BN20" s="503"/>
      <c r="BO20" s="503"/>
      <c r="BP20" s="503"/>
      <c r="BQ20" s="503"/>
      <c r="BR20" s="503"/>
      <c r="BS20" s="503"/>
      <c r="BT20" s="503"/>
      <c r="BU20" s="503"/>
      <c r="BV20" s="503"/>
      <c r="BW20" s="503"/>
      <c r="BX20" s="503"/>
      <c r="BY20" s="503"/>
      <c r="BZ20" s="503"/>
      <c r="CA20" s="503"/>
      <c r="CB20" s="503"/>
      <c r="CC20" s="503"/>
      <c r="CD20" s="503"/>
      <c r="CE20" s="503"/>
    </row>
    <row r="21" spans="1:83" s="365" customFormat="1" ht="18" customHeight="1" x14ac:dyDescent="0.2">
      <c r="A21" s="503"/>
      <c r="B21" s="540" t="str">
        <f>B20</f>
        <v>Exterior/Interior Windows</v>
      </c>
      <c r="C21" s="554" t="s">
        <v>889</v>
      </c>
      <c r="D21" s="555">
        <f>COUNTIFS(Rollup_PCA_notes!$L:$L,AUTO_NOTES!$B21,Rollup_PCA_notes!$D:$D,"X")</f>
        <v>0</v>
      </c>
      <c r="E21" s="548" t="e">
        <f t="shared" si="13"/>
        <v>#DIV/0!</v>
      </c>
      <c r="F21" s="556">
        <f>SUMIFS(Rollup_PCA_notes!$J:$J,Rollup_PCA_notes!$L:$L,AUTO_NOTES!$B21,Rollup_PCA_notes!$D:$D,"x")</f>
        <v>0</v>
      </c>
      <c r="G21" s="556">
        <f>SUMIFS(Rollup_PCA_notes!$N:$N,Rollup_PCA_notes!$L:$L,AUTO_NOTES!$B21,Rollup_PCA_notes!$D:$D,"x")</f>
        <v>0</v>
      </c>
      <c r="H21" s="868"/>
      <c r="I21" s="871"/>
      <c r="J21" s="874"/>
      <c r="K21" s="874"/>
      <c r="L21" s="871"/>
      <c r="M21" s="853"/>
      <c r="N21" s="856"/>
      <c r="O21" s="859"/>
      <c r="P21" s="859"/>
      <c r="Q21" s="862"/>
      <c r="R21" s="865"/>
      <c r="S21" s="503"/>
      <c r="T21" s="539"/>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3"/>
      <c r="AY21" s="503"/>
      <c r="AZ21" s="503"/>
      <c r="BA21" s="503"/>
      <c r="BB21" s="503"/>
      <c r="BC21" s="503"/>
      <c r="BD21" s="503"/>
      <c r="BE21" s="503"/>
      <c r="BF21" s="503"/>
      <c r="BG21" s="503"/>
      <c r="BH21" s="503"/>
      <c r="BI21" s="503"/>
      <c r="BJ21" s="503"/>
      <c r="BK21" s="503"/>
      <c r="BL21" s="503"/>
      <c r="BM21" s="503"/>
      <c r="BN21" s="503"/>
      <c r="BO21" s="503"/>
      <c r="BP21" s="503"/>
      <c r="BQ21" s="503"/>
      <c r="BR21" s="503"/>
      <c r="BS21" s="503"/>
      <c r="BT21" s="503"/>
      <c r="BU21" s="503"/>
      <c r="BV21" s="503"/>
      <c r="BW21" s="503"/>
      <c r="BX21" s="503"/>
      <c r="BY21" s="503"/>
      <c r="BZ21" s="503"/>
      <c r="CA21" s="503"/>
      <c r="CB21" s="503"/>
      <c r="CC21" s="503"/>
      <c r="CD21" s="503"/>
      <c r="CE21" s="503"/>
    </row>
    <row r="22" spans="1:83" s="365" customFormat="1" ht="18" customHeight="1" x14ac:dyDescent="0.2">
      <c r="A22" s="503"/>
      <c r="B22" s="540" t="str">
        <f>B21</f>
        <v>Exterior/Interior Windows</v>
      </c>
      <c r="C22" s="554" t="s">
        <v>43</v>
      </c>
      <c r="D22" s="555">
        <f>COUNTIFS(Rollup_PCA_notes!$L:$L,AUTO_NOTES!$B22,Rollup_PCA_notes!$E:$E,"X")</f>
        <v>0</v>
      </c>
      <c r="E22" s="548" t="e">
        <f t="shared" si="13"/>
        <v>#DIV/0!</v>
      </c>
      <c r="F22" s="556">
        <f>SUMIFS(Rollup_PCA_notes!$J:$J,Rollup_PCA_notes!$L:$L,AUTO_NOTES!$B22,Rollup_PCA_notes!$E:$E,"x")</f>
        <v>0</v>
      </c>
      <c r="G22" s="556">
        <f>SUMIFS(Rollup_PCA_notes!$N:$N,Rollup_PCA_notes!$L:$L,AUTO_NOTES!$B22,Rollup_PCA_notes!$E:$E,"x")</f>
        <v>0</v>
      </c>
      <c r="H22" s="868"/>
      <c r="I22" s="871"/>
      <c r="J22" s="874"/>
      <c r="K22" s="874"/>
      <c r="L22" s="871"/>
      <c r="M22" s="853"/>
      <c r="N22" s="856"/>
      <c r="O22" s="859"/>
      <c r="P22" s="859"/>
      <c r="Q22" s="862"/>
      <c r="R22" s="865"/>
      <c r="S22" s="503"/>
      <c r="T22" s="539"/>
      <c r="U22" s="503"/>
      <c r="V22" s="503"/>
      <c r="W22" s="503"/>
      <c r="X22" s="503"/>
      <c r="Y22" s="503"/>
      <c r="Z22" s="503"/>
      <c r="AA22" s="503"/>
      <c r="AB22" s="503"/>
      <c r="AC22" s="503"/>
      <c r="AD22" s="503"/>
      <c r="AE22" s="503"/>
      <c r="AF22" s="503"/>
      <c r="AG22" s="503"/>
      <c r="AH22" s="503"/>
      <c r="AI22" s="503"/>
      <c r="AJ22" s="503"/>
      <c r="AK22" s="503"/>
      <c r="AL22" s="503"/>
      <c r="AM22" s="503"/>
      <c r="AN22" s="503"/>
      <c r="AO22" s="503"/>
      <c r="AP22" s="503"/>
      <c r="AQ22" s="503"/>
      <c r="AR22" s="503"/>
      <c r="AS22" s="503"/>
      <c r="AT22" s="503"/>
      <c r="AU22" s="503"/>
      <c r="AV22" s="503"/>
      <c r="AW22" s="503"/>
      <c r="AX22" s="503"/>
      <c r="AY22" s="503"/>
      <c r="AZ22" s="503"/>
      <c r="BA22" s="503"/>
      <c r="BB22" s="503"/>
      <c r="BC22" s="503"/>
      <c r="BD22" s="503"/>
      <c r="BE22" s="503"/>
      <c r="BF22" s="503"/>
      <c r="BG22" s="503"/>
      <c r="BH22" s="503"/>
      <c r="BI22" s="503"/>
      <c r="BJ22" s="503"/>
      <c r="BK22" s="503"/>
      <c r="BL22" s="503"/>
      <c r="BM22" s="503"/>
      <c r="BN22" s="503"/>
      <c r="BO22" s="503"/>
      <c r="BP22" s="503"/>
      <c r="BQ22" s="503"/>
      <c r="BR22" s="503"/>
      <c r="BS22" s="503"/>
      <c r="BT22" s="503"/>
      <c r="BU22" s="503"/>
      <c r="BV22" s="503"/>
      <c r="BW22" s="503"/>
      <c r="BX22" s="503"/>
      <c r="BY22" s="503"/>
      <c r="BZ22" s="503"/>
      <c r="CA22" s="503"/>
      <c r="CB22" s="503"/>
      <c r="CC22" s="503"/>
      <c r="CD22" s="503"/>
      <c r="CE22" s="503"/>
    </row>
    <row r="23" spans="1:83" s="365" customFormat="1" ht="18" customHeight="1" x14ac:dyDescent="0.2">
      <c r="A23" s="503"/>
      <c r="B23" s="540" t="str">
        <f>B22</f>
        <v>Exterior/Interior Windows</v>
      </c>
      <c r="C23" s="554" t="s">
        <v>890</v>
      </c>
      <c r="D23" s="555">
        <f>COUNTIFS(Rollup_PCA_notes!$L:$L,AUTO_NOTES!$B23,Rollup_PCA_notes!$F:$F,"X")</f>
        <v>0</v>
      </c>
      <c r="E23" s="548" t="e">
        <f t="shared" si="13"/>
        <v>#DIV/0!</v>
      </c>
      <c r="F23" s="556">
        <f>SUMIFS(Rollup_PCA_notes!$J:$J,Rollup_PCA_notes!$L:$L,AUTO_NOTES!$B23,Rollup_PCA_notes!$F:$F,"x")</f>
        <v>0</v>
      </c>
      <c r="G23" s="556">
        <f>SUMIFS(Rollup_PCA_notes!$N:$N,Rollup_PCA_notes!$L:$L,AUTO_NOTES!$B23,Rollup_PCA_notes!$F:$F,"x")</f>
        <v>0</v>
      </c>
      <c r="H23" s="868"/>
      <c r="I23" s="871"/>
      <c r="J23" s="874"/>
      <c r="K23" s="874"/>
      <c r="L23" s="871"/>
      <c r="M23" s="853"/>
      <c r="N23" s="856"/>
      <c r="O23" s="859"/>
      <c r="P23" s="859"/>
      <c r="Q23" s="862"/>
      <c r="R23" s="865"/>
      <c r="S23" s="503"/>
      <c r="T23" s="539"/>
      <c r="U23" s="503"/>
      <c r="V23" s="503"/>
      <c r="W23" s="503"/>
      <c r="X23" s="503"/>
      <c r="Y23" s="503"/>
      <c r="Z23" s="503"/>
      <c r="AA23" s="503"/>
      <c r="AB23" s="503"/>
      <c r="AC23" s="503"/>
      <c r="AD23" s="503"/>
      <c r="AE23" s="503"/>
      <c r="AF23" s="503"/>
      <c r="AG23" s="503"/>
      <c r="AH23" s="503"/>
      <c r="AI23" s="503"/>
      <c r="AJ23" s="503"/>
      <c r="AK23" s="503"/>
      <c r="AL23" s="503"/>
      <c r="AM23" s="503"/>
      <c r="AN23" s="503"/>
      <c r="AO23" s="503"/>
      <c r="AP23" s="503"/>
      <c r="AQ23" s="503"/>
      <c r="AR23" s="503"/>
      <c r="AS23" s="503"/>
      <c r="AT23" s="503"/>
      <c r="AU23" s="503"/>
      <c r="AV23" s="503"/>
      <c r="AW23" s="503"/>
      <c r="AX23" s="503"/>
      <c r="AY23" s="503"/>
      <c r="AZ23" s="503"/>
      <c r="BA23" s="503"/>
      <c r="BB23" s="503"/>
      <c r="BC23" s="503"/>
      <c r="BD23" s="503"/>
      <c r="BE23" s="503"/>
      <c r="BF23" s="503"/>
      <c r="BG23" s="503"/>
      <c r="BH23" s="503"/>
      <c r="BI23" s="503"/>
      <c r="BJ23" s="503"/>
      <c r="BK23" s="503"/>
      <c r="BL23" s="503"/>
      <c r="BM23" s="503"/>
      <c r="BN23" s="503"/>
      <c r="BO23" s="503"/>
      <c r="BP23" s="503"/>
      <c r="BQ23" s="503"/>
      <c r="BR23" s="503"/>
      <c r="BS23" s="503"/>
      <c r="BT23" s="503"/>
      <c r="BU23" s="503"/>
      <c r="BV23" s="503"/>
      <c r="BW23" s="503"/>
      <c r="BX23" s="503"/>
      <c r="BY23" s="503"/>
      <c r="BZ23" s="503"/>
      <c r="CA23" s="503"/>
      <c r="CB23" s="503"/>
      <c r="CC23" s="503"/>
      <c r="CD23" s="503"/>
      <c r="CE23" s="503"/>
    </row>
    <row r="24" spans="1:83" s="365" customFormat="1" ht="18" customHeight="1" x14ac:dyDescent="0.2">
      <c r="A24" s="503"/>
      <c r="B24" s="540" t="str">
        <f>B23</f>
        <v>Exterior/Interior Windows</v>
      </c>
      <c r="C24" s="554" t="s">
        <v>45</v>
      </c>
      <c r="D24" s="555">
        <f>COUNTIFS(Rollup_PCA_notes!$L:$L,AUTO_NOTES!$B24,Rollup_PCA_notes!$G:$G,"X")</f>
        <v>0</v>
      </c>
      <c r="E24" s="548" t="e">
        <f t="shared" si="13"/>
        <v>#DIV/0!</v>
      </c>
      <c r="F24" s="556">
        <f>SUMIFS(Rollup_PCA_notes!$J:$J,Rollup_PCA_notes!$L:$L,AUTO_NOTES!$B24,Rollup_PCA_notes!$G:$G,"x")</f>
        <v>0</v>
      </c>
      <c r="G24" s="556">
        <f>SUMIFS(Rollup_PCA_notes!$N:$N,Rollup_PCA_notes!$L:$L,AUTO_NOTES!$B24,Rollup_PCA_notes!$G:$G,"x")</f>
        <v>0</v>
      </c>
      <c r="H24" s="868"/>
      <c r="I24" s="871"/>
      <c r="J24" s="874"/>
      <c r="K24" s="874"/>
      <c r="L24" s="871"/>
      <c r="M24" s="853"/>
      <c r="N24" s="856"/>
      <c r="O24" s="859"/>
      <c r="P24" s="859"/>
      <c r="Q24" s="862"/>
      <c r="R24" s="865"/>
      <c r="S24" s="503"/>
      <c r="T24" s="539"/>
      <c r="U24" s="503"/>
      <c r="V24" s="503"/>
      <c r="W24" s="503"/>
      <c r="X24" s="503"/>
      <c r="Y24" s="503"/>
      <c r="Z24" s="503"/>
      <c r="AA24" s="503"/>
      <c r="AB24" s="503"/>
      <c r="AC24" s="503"/>
      <c r="AD24" s="503"/>
      <c r="AE24" s="503"/>
      <c r="AF24" s="503"/>
      <c r="AG24" s="503"/>
      <c r="AH24" s="503"/>
      <c r="AI24" s="503"/>
      <c r="AJ24" s="503"/>
      <c r="AK24" s="503"/>
      <c r="AL24" s="503"/>
      <c r="AM24" s="503"/>
      <c r="AN24" s="503"/>
      <c r="AO24" s="503"/>
      <c r="AP24" s="503"/>
      <c r="AQ24" s="503"/>
      <c r="AR24" s="503"/>
      <c r="AS24" s="503"/>
      <c r="AT24" s="503"/>
      <c r="AU24" s="503"/>
      <c r="AV24" s="503"/>
      <c r="AW24" s="503"/>
      <c r="AX24" s="503"/>
      <c r="AY24" s="503"/>
      <c r="AZ24" s="503"/>
      <c r="BA24" s="503"/>
      <c r="BB24" s="503"/>
      <c r="BC24" s="503"/>
      <c r="BD24" s="503"/>
      <c r="BE24" s="503"/>
      <c r="BF24" s="503"/>
      <c r="BG24" s="503"/>
      <c r="BH24" s="503"/>
      <c r="BI24" s="503"/>
      <c r="BJ24" s="503"/>
      <c r="BK24" s="503"/>
      <c r="BL24" s="503"/>
      <c r="BM24" s="503"/>
      <c r="BN24" s="503"/>
      <c r="BO24" s="503"/>
      <c r="BP24" s="503"/>
      <c r="BQ24" s="503"/>
      <c r="BR24" s="503"/>
      <c r="BS24" s="503"/>
      <c r="BT24" s="503"/>
      <c r="BU24" s="503"/>
      <c r="BV24" s="503"/>
      <c r="BW24" s="503"/>
      <c r="BX24" s="503"/>
      <c r="BY24" s="503"/>
      <c r="BZ24" s="503"/>
      <c r="CA24" s="503"/>
      <c r="CB24" s="503"/>
      <c r="CC24" s="503"/>
      <c r="CD24" s="503"/>
      <c r="CE24" s="503"/>
    </row>
    <row r="25" spans="1:83" s="365" customFormat="1" ht="18" customHeight="1" thickBot="1" x14ac:dyDescent="0.25">
      <c r="A25" s="503"/>
      <c r="B25" s="541" t="str">
        <f>B24</f>
        <v>Exterior/Interior Windows</v>
      </c>
      <c r="C25" s="557" t="s">
        <v>46</v>
      </c>
      <c r="D25" s="558">
        <f>COUNTIFS(Rollup_PCA_notes!$L:$L,AUTO_NOTES!$B25,Rollup_PCA_notes!$H:$H,"X")</f>
        <v>0</v>
      </c>
      <c r="E25" s="549" t="e">
        <f t="shared" si="13"/>
        <v>#DIV/0!</v>
      </c>
      <c r="F25" s="559">
        <f>SUMIFS(Rollup_PCA_notes!$J:$J,Rollup_PCA_notes!$L:$L,AUTO_NOTES!$B25,Rollup_PCA_notes!$H:$H,"x")</f>
        <v>0</v>
      </c>
      <c r="G25" s="559">
        <f>SUMIFS(Rollup_PCA_notes!$N:$N,Rollup_PCA_notes!$L:$L,AUTO_NOTES!$B25,Rollup_PCA_notes!$H:$H,"x")</f>
        <v>0</v>
      </c>
      <c r="H25" s="869"/>
      <c r="I25" s="872"/>
      <c r="J25" s="875"/>
      <c r="K25" s="875"/>
      <c r="L25" s="872"/>
      <c r="M25" s="854"/>
      <c r="N25" s="857"/>
      <c r="O25" s="860"/>
      <c r="P25" s="860"/>
      <c r="Q25" s="863"/>
      <c r="R25" s="866"/>
      <c r="S25" s="503"/>
      <c r="T25" s="539"/>
      <c r="U25" s="503"/>
      <c r="V25" s="503"/>
      <c r="W25" s="503"/>
      <c r="X25" s="503"/>
      <c r="Y25" s="503"/>
      <c r="Z25" s="503"/>
      <c r="AA25" s="503"/>
      <c r="AB25" s="503"/>
      <c r="AC25" s="503"/>
      <c r="AD25" s="503"/>
      <c r="AE25" s="503"/>
      <c r="AF25" s="503"/>
      <c r="AG25" s="503"/>
      <c r="AH25" s="503"/>
      <c r="AI25" s="503"/>
      <c r="AJ25" s="503"/>
      <c r="AK25" s="503"/>
      <c r="AL25" s="503"/>
      <c r="AM25" s="503"/>
      <c r="AN25" s="503"/>
      <c r="AO25" s="503"/>
      <c r="AP25" s="503"/>
      <c r="AQ25" s="503"/>
      <c r="AR25" s="503"/>
      <c r="AS25" s="503"/>
      <c r="AT25" s="503"/>
      <c r="AU25" s="503"/>
      <c r="AV25" s="503"/>
      <c r="AW25" s="503"/>
      <c r="AX25" s="503"/>
      <c r="AY25" s="503"/>
      <c r="AZ25" s="503"/>
      <c r="BA25" s="503"/>
      <c r="BB25" s="503"/>
      <c r="BC25" s="503"/>
      <c r="BD25" s="503"/>
      <c r="BE25" s="503"/>
      <c r="BF25" s="503"/>
      <c r="BG25" s="503"/>
      <c r="BH25" s="503"/>
      <c r="BI25" s="503"/>
      <c r="BJ25" s="503"/>
      <c r="BK25" s="503"/>
      <c r="BL25" s="503"/>
      <c r="BM25" s="503"/>
      <c r="BN25" s="503"/>
      <c r="BO25" s="503"/>
      <c r="BP25" s="503"/>
      <c r="BQ25" s="503"/>
      <c r="BR25" s="503"/>
      <c r="BS25" s="503"/>
      <c r="BT25" s="503"/>
      <c r="BU25" s="503"/>
      <c r="BV25" s="503"/>
      <c r="BW25" s="503"/>
      <c r="BX25" s="503"/>
      <c r="BY25" s="503"/>
      <c r="BZ25" s="503"/>
      <c r="CA25" s="503"/>
      <c r="CB25" s="503"/>
      <c r="CC25" s="503"/>
      <c r="CD25" s="503"/>
      <c r="CE25" s="503"/>
    </row>
    <row r="26" spans="1:83" s="365" customFormat="1" ht="18" customHeight="1" x14ac:dyDescent="0.2">
      <c r="A26" s="503"/>
      <c r="B26" s="538" t="s">
        <v>207</v>
      </c>
      <c r="C26" s="551" t="s">
        <v>41</v>
      </c>
      <c r="D26" s="552">
        <f>COUNTIFS(Rollup_PCA_notes!$L:$L,AUTO_NOTES!$B26,Rollup_PCA_notes!$C:$C,"X")</f>
        <v>0</v>
      </c>
      <c r="E26" s="547" t="e">
        <f t="shared" ref="E26:E31" si="19">D26/SUM(D$26:D$31)</f>
        <v>#DIV/0!</v>
      </c>
      <c r="F26" s="553">
        <f>SUMIFS(Rollup_PCA_notes!$J:$J,Rollup_PCA_notes!$L:$L,AUTO_NOTES!$B26,Rollup_PCA_notes!$C:$C,"x")</f>
        <v>0</v>
      </c>
      <c r="G26" s="553">
        <f>SUMIFS(Rollup_PCA_notes!$N:$N,Rollup_PCA_notes!$L:$L,AUTO_NOTES!$B26,Rollup_PCA_notes!$C:$C,"x")</f>
        <v>0</v>
      </c>
      <c r="H26" s="867">
        <f t="shared" ref="H26" si="20">IF(SUM(D29:D31)=0,0,(SUM(D29:D31)/SUM(D26:D31)))</f>
        <v>0</v>
      </c>
      <c r="I26" s="870" t="e">
        <f t="shared" ref="I26" si="21">SUM(F26:F31)/SUM(G26:G31)</f>
        <v>#DIV/0!</v>
      </c>
      <c r="J26" s="873" t="str">
        <f t="shared" ref="J26" si="22">IF(H26=0,"None",ROUNDDOWN((H26*100),0)&amp;"%")</f>
        <v>None</v>
      </c>
      <c r="K26" s="873" t="str">
        <f t="shared" ref="K26" si="23">IF(SUM(D27:D31)=0,"&lt;1%",IF(I26&lt;0.01,"&lt;1%",ROUNDDOWN((I26*100),0)&amp;"%"))</f>
        <v>&lt;1%</v>
      </c>
      <c r="L26" s="870" t="str">
        <f t="shared" ref="L26" si="24">IF(SUM(D27:D31)=0,"Green",IF(I26&gt;0.5,"Red",IF(I26&gt;0.01,"Yellow",IF(SUM(D28:D31)&gt;0,"Yellow","Green"))))</f>
        <v>Green</v>
      </c>
      <c r="M26" s="852" t="str">
        <f>IF(J26="None",$N26,$J26&amp;" "&amp;"of this system requires major renovation or replacement,"&amp;" "&amp;"including"&amp;" "&amp;$O26&amp;"  "&amp;"  "&amp;P26&amp;"  "&amp;"The cost to address identified needs is"&amp;" "&amp;$K26&amp;" "&amp;"of estimated cost to replace them, indicating"&amp;" "&amp;IF($L26="Red","need for systematic major renovations or replacements.",IF($L26="Yellow","need for significant renovations and potentially isolated replacements.",IF($L26="Green","need for regular maintenance and repairs.","error"))))</f>
        <v>None of this system requires major renovation or replacement.   The cost to address identified needs is  &lt;1% of estimated cost to replace them, indicating need for regular maintenance and repairs.</v>
      </c>
      <c r="N26" s="855" t="str">
        <f>$J26&amp;" "&amp;"of this system requires major renovation or replacement."&amp;" "&amp;" "&amp;P26&amp;" "&amp;"The cost to address identified needs is"&amp;"  "&amp;$K26&amp;" "&amp;"of estimated cost to replace them, indicating"&amp;" "&amp;IF($L26="Red","need for systematic major renovations or replacements.",IF($L26="Yellow","need for significant renovations and potentially isolated replacements.",IF($L26="Green","need for regular maintenance and repairs.","error")))</f>
        <v>None of this system requires major renovation or replacement.   The cost to address identified needs is  &lt;1% of estimated cost to replace them, indicating need for regular maintenance and repairs.</v>
      </c>
      <c r="O26" s="858" t="str" cm="1">
        <f t="array" ref="O26">_xlfn.TEXTJOIN(" ",TRUE,IF(Rollup_PCA_notes!$L:$L=AUTO_NOTES!$B26,Rollup_PCA_notes!$R:$R,""))</f>
        <v/>
      </c>
      <c r="P26" s="858" t="str" cm="1">
        <f t="array" ref="P26">_xlfn.TEXTJOIN(" ",TRUE,IF(Rollup_PCA_notes!$L:$L=AUTO_NOTES!$B26,Rollup_PCA_notes!$S:$S,""))</f>
        <v/>
      </c>
      <c r="Q26" s="861" t="str" cm="1">
        <f t="array" ref="Q26">_xlfn.TEXTJOIN(" ",TRUE,IF(Rollup_PCA_notes!$L:$L=AUTO_NOTES!$B26,Rollup_PCA_notes!$K:$K,""))</f>
        <v>0 0 0 0 0 0 0</v>
      </c>
      <c r="R26" s="864"/>
      <c r="S26" s="503"/>
      <c r="T26" s="539"/>
      <c r="U26" s="503"/>
      <c r="V26" s="503"/>
      <c r="W26" s="503"/>
      <c r="X26" s="503"/>
      <c r="Y26" s="503"/>
      <c r="Z26" s="503"/>
      <c r="AA26" s="503"/>
      <c r="AB26" s="503"/>
      <c r="AC26" s="503"/>
      <c r="AD26" s="503"/>
      <c r="AE26" s="503"/>
      <c r="AF26" s="503"/>
      <c r="AG26" s="503"/>
      <c r="AH26" s="503"/>
      <c r="AI26" s="503"/>
      <c r="AJ26" s="503"/>
      <c r="AK26" s="503"/>
      <c r="AL26" s="503"/>
      <c r="AM26" s="503"/>
      <c r="AN26" s="503"/>
      <c r="AO26" s="503"/>
      <c r="AP26" s="503"/>
      <c r="AQ26" s="503"/>
      <c r="AR26" s="503"/>
      <c r="AS26" s="503"/>
      <c r="AT26" s="503"/>
      <c r="AU26" s="503"/>
      <c r="AV26" s="503"/>
      <c r="AW26" s="503"/>
      <c r="AX26" s="503"/>
      <c r="AY26" s="503"/>
      <c r="AZ26" s="503"/>
      <c r="BA26" s="503"/>
      <c r="BB26" s="503"/>
      <c r="BC26" s="503"/>
      <c r="BD26" s="503"/>
      <c r="BE26" s="503"/>
      <c r="BF26" s="503"/>
      <c r="BG26" s="503"/>
      <c r="BH26" s="503"/>
      <c r="BI26" s="503"/>
      <c r="BJ26" s="503"/>
      <c r="BK26" s="503"/>
      <c r="BL26" s="503"/>
      <c r="BM26" s="503"/>
      <c r="BN26" s="503"/>
      <c r="BO26" s="503"/>
      <c r="BP26" s="503"/>
      <c r="BQ26" s="503"/>
      <c r="BR26" s="503"/>
      <c r="BS26" s="503"/>
      <c r="BT26" s="503"/>
      <c r="BU26" s="503"/>
      <c r="BV26" s="503"/>
      <c r="BW26" s="503"/>
      <c r="BX26" s="503"/>
      <c r="BY26" s="503"/>
      <c r="BZ26" s="503"/>
      <c r="CA26" s="503"/>
      <c r="CB26" s="503"/>
      <c r="CC26" s="503"/>
      <c r="CD26" s="503"/>
      <c r="CE26" s="503"/>
    </row>
    <row r="27" spans="1:83" s="365" customFormat="1" ht="18" customHeight="1" x14ac:dyDescent="0.2">
      <c r="A27" s="503"/>
      <c r="B27" s="540" t="str">
        <f>B26</f>
        <v>Flooring</v>
      </c>
      <c r="C27" s="554" t="s">
        <v>889</v>
      </c>
      <c r="D27" s="555">
        <f>COUNTIFS(Rollup_PCA_notes!$L:$L,AUTO_NOTES!$B27,Rollup_PCA_notes!$D:$D,"X")</f>
        <v>0</v>
      </c>
      <c r="E27" s="548" t="e">
        <f t="shared" si="19"/>
        <v>#DIV/0!</v>
      </c>
      <c r="F27" s="556">
        <f>SUMIFS(Rollup_PCA_notes!$J:$J,Rollup_PCA_notes!$L:$L,AUTO_NOTES!$B27,Rollup_PCA_notes!$D:$D,"x")</f>
        <v>0</v>
      </c>
      <c r="G27" s="556">
        <f>SUMIFS(Rollup_PCA_notes!$N:$N,Rollup_PCA_notes!$L:$L,AUTO_NOTES!$B27,Rollup_PCA_notes!$D:$D,"x")</f>
        <v>0</v>
      </c>
      <c r="H27" s="868"/>
      <c r="I27" s="871"/>
      <c r="J27" s="874"/>
      <c r="K27" s="874"/>
      <c r="L27" s="871"/>
      <c r="M27" s="853"/>
      <c r="N27" s="856"/>
      <c r="O27" s="859"/>
      <c r="P27" s="859"/>
      <c r="Q27" s="862"/>
      <c r="R27" s="865"/>
      <c r="S27" s="503"/>
      <c r="T27" s="539"/>
      <c r="U27" s="503"/>
      <c r="V27" s="503"/>
      <c r="W27" s="503"/>
      <c r="X27" s="503"/>
      <c r="Y27" s="503"/>
      <c r="Z27" s="503"/>
      <c r="AA27" s="503"/>
      <c r="AB27" s="503"/>
      <c r="AC27" s="503"/>
      <c r="AD27" s="503"/>
      <c r="AE27" s="503"/>
      <c r="AF27" s="503"/>
      <c r="AG27" s="503"/>
      <c r="AH27" s="503"/>
      <c r="AI27" s="503"/>
      <c r="AJ27" s="503"/>
      <c r="AK27" s="503"/>
      <c r="AL27" s="503"/>
      <c r="AM27" s="503"/>
      <c r="AN27" s="503"/>
      <c r="AO27" s="503"/>
      <c r="AP27" s="503"/>
      <c r="AQ27" s="503"/>
      <c r="AR27" s="503"/>
      <c r="AS27" s="503"/>
      <c r="AT27" s="503"/>
      <c r="AU27" s="503"/>
      <c r="AV27" s="503"/>
      <c r="AW27" s="503"/>
      <c r="AX27" s="503"/>
      <c r="AY27" s="503"/>
      <c r="AZ27" s="503"/>
      <c r="BA27" s="503"/>
      <c r="BB27" s="503"/>
      <c r="BC27" s="503"/>
      <c r="BD27" s="503"/>
      <c r="BE27" s="503"/>
      <c r="BF27" s="503"/>
      <c r="BG27" s="503"/>
      <c r="BH27" s="503"/>
      <c r="BI27" s="503"/>
      <c r="BJ27" s="503"/>
      <c r="BK27" s="503"/>
      <c r="BL27" s="503"/>
      <c r="BM27" s="503"/>
      <c r="BN27" s="503"/>
      <c r="BO27" s="503"/>
      <c r="BP27" s="503"/>
      <c r="BQ27" s="503"/>
      <c r="BR27" s="503"/>
      <c r="BS27" s="503"/>
      <c r="BT27" s="503"/>
      <c r="BU27" s="503"/>
      <c r="BV27" s="503"/>
      <c r="BW27" s="503"/>
      <c r="BX27" s="503"/>
      <c r="BY27" s="503"/>
      <c r="BZ27" s="503"/>
      <c r="CA27" s="503"/>
      <c r="CB27" s="503"/>
      <c r="CC27" s="503"/>
      <c r="CD27" s="503"/>
      <c r="CE27" s="503"/>
    </row>
    <row r="28" spans="1:83" s="365" customFormat="1" ht="18" customHeight="1" x14ac:dyDescent="0.2">
      <c r="A28" s="503"/>
      <c r="B28" s="540">
        <v>1</v>
      </c>
      <c r="C28" s="554" t="s">
        <v>43</v>
      </c>
      <c r="D28" s="555" t="s">
        <v>2021</v>
      </c>
      <c r="E28" s="548" t="e">
        <f t="shared" si="19"/>
        <v>#VALUE!</v>
      </c>
      <c r="F28" s="556">
        <f>SUMIFS(Rollup_PCA_notes!$J:$J,Rollup_PCA_notes!$L:$L,AUTO_NOTES!$B28,Rollup_PCA_notes!$E:$E,"x")</f>
        <v>0</v>
      </c>
      <c r="G28" s="556">
        <f>SUMIFS(Rollup_PCA_notes!$N:$N,Rollup_PCA_notes!$L:$L,AUTO_NOTES!$B28,Rollup_PCA_notes!$E:$E,"x")</f>
        <v>0</v>
      </c>
      <c r="H28" s="868"/>
      <c r="I28" s="871"/>
      <c r="J28" s="874"/>
      <c r="K28" s="874"/>
      <c r="L28" s="871"/>
      <c r="M28" s="853"/>
      <c r="N28" s="856"/>
      <c r="O28" s="859"/>
      <c r="P28" s="859"/>
      <c r="Q28" s="862"/>
      <c r="R28" s="865"/>
      <c r="S28" s="503"/>
      <c r="T28" s="539"/>
      <c r="U28" s="503"/>
      <c r="V28" s="503"/>
      <c r="W28" s="503"/>
      <c r="X28" s="503"/>
      <c r="Y28" s="503"/>
      <c r="Z28" s="503"/>
      <c r="AA28" s="503"/>
      <c r="AB28" s="503"/>
      <c r="AC28" s="503"/>
      <c r="AD28" s="503"/>
      <c r="AE28" s="503"/>
      <c r="AF28" s="503"/>
      <c r="AG28" s="503"/>
      <c r="AH28" s="503"/>
      <c r="AI28" s="503"/>
      <c r="AJ28" s="503"/>
      <c r="AK28" s="503"/>
      <c r="AL28" s="503"/>
      <c r="AM28" s="503"/>
      <c r="AN28" s="503"/>
      <c r="AO28" s="503"/>
      <c r="AP28" s="503"/>
      <c r="AQ28" s="503"/>
      <c r="AR28" s="503"/>
      <c r="AS28" s="503"/>
      <c r="AT28" s="503"/>
      <c r="AU28" s="503"/>
      <c r="AV28" s="503"/>
      <c r="AW28" s="503"/>
      <c r="AX28" s="503"/>
      <c r="AY28" s="503"/>
      <c r="AZ28" s="503"/>
      <c r="BA28" s="503"/>
      <c r="BB28" s="503"/>
      <c r="BC28" s="503"/>
      <c r="BD28" s="503"/>
      <c r="BE28" s="503"/>
      <c r="BF28" s="503"/>
      <c r="BG28" s="503"/>
      <c r="BH28" s="503"/>
      <c r="BI28" s="503"/>
      <c r="BJ28" s="503"/>
      <c r="BK28" s="503"/>
      <c r="BL28" s="503"/>
      <c r="BM28" s="503"/>
      <c r="BN28" s="503"/>
      <c r="BO28" s="503"/>
      <c r="BP28" s="503"/>
      <c r="BQ28" s="503"/>
      <c r="BR28" s="503"/>
      <c r="BS28" s="503"/>
      <c r="BT28" s="503"/>
      <c r="BU28" s="503"/>
      <c r="BV28" s="503"/>
      <c r="BW28" s="503"/>
      <c r="BX28" s="503"/>
      <c r="BY28" s="503"/>
      <c r="BZ28" s="503"/>
      <c r="CA28" s="503"/>
      <c r="CB28" s="503"/>
      <c r="CC28" s="503"/>
      <c r="CD28" s="503"/>
      <c r="CE28" s="503"/>
    </row>
    <row r="29" spans="1:83" s="365" customFormat="1" ht="18" customHeight="1" x14ac:dyDescent="0.2">
      <c r="A29" s="503"/>
      <c r="B29" s="540">
        <f>B28</f>
        <v>1</v>
      </c>
      <c r="C29" s="554" t="s">
        <v>890</v>
      </c>
      <c r="D29" s="555">
        <f>COUNTIFS(Rollup_PCA_notes!$L:$L,AUTO_NOTES!$B29,Rollup_PCA_notes!$F:$F,"X")</f>
        <v>0</v>
      </c>
      <c r="E29" s="548" t="e">
        <f t="shared" si="19"/>
        <v>#DIV/0!</v>
      </c>
      <c r="F29" s="556">
        <f>SUMIFS(Rollup_PCA_notes!$J:$J,Rollup_PCA_notes!$L:$L,AUTO_NOTES!$B29,Rollup_PCA_notes!$F:$F,"x")</f>
        <v>0</v>
      </c>
      <c r="G29" s="556">
        <f>SUMIFS(Rollup_PCA_notes!$N:$N,Rollup_PCA_notes!$L:$L,AUTO_NOTES!$B29,Rollup_PCA_notes!$F:$F,"x")</f>
        <v>0</v>
      </c>
      <c r="H29" s="868"/>
      <c r="I29" s="871"/>
      <c r="J29" s="874"/>
      <c r="K29" s="874"/>
      <c r="L29" s="871"/>
      <c r="M29" s="853"/>
      <c r="N29" s="856"/>
      <c r="O29" s="859"/>
      <c r="P29" s="859"/>
      <c r="Q29" s="862"/>
      <c r="R29" s="865"/>
      <c r="S29" s="503"/>
      <c r="T29" s="539"/>
      <c r="U29" s="503"/>
      <c r="V29" s="503"/>
      <c r="W29" s="503"/>
      <c r="X29" s="503"/>
      <c r="Y29" s="503"/>
      <c r="Z29" s="503"/>
      <c r="AA29" s="503"/>
      <c r="AB29" s="503"/>
      <c r="AC29" s="503"/>
      <c r="AD29" s="503"/>
      <c r="AE29" s="503"/>
      <c r="AF29" s="503"/>
      <c r="AG29" s="503"/>
      <c r="AH29" s="503"/>
      <c r="AI29" s="503"/>
      <c r="AJ29" s="503"/>
      <c r="AK29" s="503"/>
      <c r="AL29" s="503"/>
      <c r="AM29" s="503"/>
      <c r="AN29" s="503"/>
      <c r="AO29" s="503"/>
      <c r="AP29" s="503"/>
      <c r="AQ29" s="503"/>
      <c r="AR29" s="503"/>
      <c r="AS29" s="503"/>
      <c r="AT29" s="503"/>
      <c r="AU29" s="503"/>
      <c r="AV29" s="503"/>
      <c r="AW29" s="503"/>
      <c r="AX29" s="503"/>
      <c r="AY29" s="503"/>
      <c r="AZ29" s="503"/>
      <c r="BA29" s="503"/>
      <c r="BB29" s="503"/>
      <c r="BC29" s="503"/>
      <c r="BD29" s="503"/>
      <c r="BE29" s="503"/>
      <c r="BF29" s="503"/>
      <c r="BG29" s="503"/>
      <c r="BH29" s="503"/>
      <c r="BI29" s="503"/>
      <c r="BJ29" s="503"/>
      <c r="BK29" s="503"/>
      <c r="BL29" s="503"/>
      <c r="BM29" s="503"/>
      <c r="BN29" s="503"/>
      <c r="BO29" s="503"/>
      <c r="BP29" s="503"/>
      <c r="BQ29" s="503"/>
      <c r="BR29" s="503"/>
      <c r="BS29" s="503"/>
      <c r="BT29" s="503"/>
      <c r="BU29" s="503"/>
      <c r="BV29" s="503"/>
      <c r="BW29" s="503"/>
      <c r="BX29" s="503"/>
      <c r="BY29" s="503"/>
      <c r="BZ29" s="503"/>
      <c r="CA29" s="503"/>
      <c r="CB29" s="503"/>
      <c r="CC29" s="503"/>
      <c r="CD29" s="503"/>
      <c r="CE29" s="503"/>
    </row>
    <row r="30" spans="1:83" s="365" customFormat="1" ht="18" customHeight="1" x14ac:dyDescent="0.2">
      <c r="A30" s="503"/>
      <c r="B30" s="540">
        <f>B29</f>
        <v>1</v>
      </c>
      <c r="C30" s="554" t="s">
        <v>45</v>
      </c>
      <c r="D30" s="555" t="s">
        <v>2022</v>
      </c>
      <c r="E30" s="548" t="e">
        <f t="shared" si="19"/>
        <v>#VALUE!</v>
      </c>
      <c r="F30" s="556">
        <f>SUMIFS(Rollup_PCA_notes!$J:$J,Rollup_PCA_notes!$L:$L,AUTO_NOTES!$B30,Rollup_PCA_notes!$G:$G,"x")</f>
        <v>0</v>
      </c>
      <c r="G30" s="556">
        <f>SUMIFS(Rollup_PCA_notes!$N:$N,Rollup_PCA_notes!$L:$L,AUTO_NOTES!$B30,Rollup_PCA_notes!$G:$G,"x")</f>
        <v>0</v>
      </c>
      <c r="H30" s="868"/>
      <c r="I30" s="871"/>
      <c r="J30" s="874"/>
      <c r="K30" s="874"/>
      <c r="L30" s="871"/>
      <c r="M30" s="853"/>
      <c r="N30" s="856"/>
      <c r="O30" s="859"/>
      <c r="P30" s="859"/>
      <c r="Q30" s="862"/>
      <c r="R30" s="865"/>
      <c r="S30" s="503"/>
      <c r="T30" s="539"/>
      <c r="U30" s="503"/>
      <c r="V30" s="503"/>
      <c r="W30" s="503"/>
      <c r="X30" s="503"/>
      <c r="Y30" s="503"/>
      <c r="Z30" s="503"/>
      <c r="AA30" s="503"/>
      <c r="AB30" s="503"/>
      <c r="AC30" s="503"/>
      <c r="AD30" s="503"/>
      <c r="AE30" s="503"/>
      <c r="AF30" s="503"/>
      <c r="AG30" s="503"/>
      <c r="AH30" s="503"/>
      <c r="AI30" s="503"/>
      <c r="AJ30" s="503"/>
      <c r="AK30" s="503"/>
      <c r="AL30" s="503"/>
      <c r="AM30" s="503"/>
      <c r="AN30" s="503"/>
      <c r="AO30" s="503"/>
      <c r="AP30" s="503"/>
      <c r="AQ30" s="503"/>
      <c r="AR30" s="503"/>
      <c r="AS30" s="503"/>
      <c r="AT30" s="503"/>
      <c r="AU30" s="503"/>
      <c r="AV30" s="503"/>
      <c r="AW30" s="503"/>
      <c r="AX30" s="503"/>
      <c r="AY30" s="503"/>
      <c r="AZ30" s="503"/>
      <c r="BA30" s="503"/>
      <c r="BB30" s="503"/>
      <c r="BC30" s="503"/>
      <c r="BD30" s="503"/>
      <c r="BE30" s="503"/>
      <c r="BF30" s="503"/>
      <c r="BG30" s="503"/>
      <c r="BH30" s="503"/>
      <c r="BI30" s="503"/>
      <c r="BJ30" s="503"/>
      <c r="BK30" s="503"/>
      <c r="BL30" s="503"/>
      <c r="BM30" s="503"/>
      <c r="BN30" s="503"/>
      <c r="BO30" s="503"/>
      <c r="BP30" s="503"/>
      <c r="BQ30" s="503"/>
      <c r="BR30" s="503"/>
      <c r="BS30" s="503"/>
      <c r="BT30" s="503"/>
      <c r="BU30" s="503"/>
      <c r="BV30" s="503"/>
      <c r="BW30" s="503"/>
      <c r="BX30" s="503"/>
      <c r="BY30" s="503"/>
      <c r="BZ30" s="503"/>
      <c r="CA30" s="503"/>
      <c r="CB30" s="503"/>
      <c r="CC30" s="503"/>
      <c r="CD30" s="503"/>
      <c r="CE30" s="503"/>
    </row>
    <row r="31" spans="1:83" s="365" customFormat="1" ht="18" customHeight="1" thickBot="1" x14ac:dyDescent="0.25">
      <c r="A31" s="503" t="s">
        <v>21</v>
      </c>
      <c r="B31" s="541">
        <f>B30</f>
        <v>1</v>
      </c>
      <c r="C31" s="557" t="s">
        <v>46</v>
      </c>
      <c r="D31" s="558">
        <f>COUNTIFS(Rollup_PCA_notes!$L:$L,AUTO_NOTES!$B31,Rollup_PCA_notes!$H:$H,"X")</f>
        <v>0</v>
      </c>
      <c r="E31" s="549" t="e">
        <f t="shared" si="19"/>
        <v>#DIV/0!</v>
      </c>
      <c r="F31" s="559">
        <f>SUMIFS(Rollup_PCA_notes!$J:$J,Rollup_PCA_notes!$L:$L,AUTO_NOTES!$B31,Rollup_PCA_notes!$H:$H,"x")</f>
        <v>0</v>
      </c>
      <c r="G31" s="559">
        <f>SUMIFS(Rollup_PCA_notes!$N:$N,Rollup_PCA_notes!$L:$L,AUTO_NOTES!$B31,Rollup_PCA_notes!$H:$H,"x")</f>
        <v>0</v>
      </c>
      <c r="H31" s="869"/>
      <c r="I31" s="872"/>
      <c r="J31" s="875"/>
      <c r="K31" s="875"/>
      <c r="L31" s="872"/>
      <c r="M31" s="854"/>
      <c r="N31" s="857"/>
      <c r="O31" s="860"/>
      <c r="P31" s="860"/>
      <c r="Q31" s="863"/>
      <c r="R31" s="866"/>
      <c r="S31" s="503"/>
      <c r="T31" s="539"/>
      <c r="U31" s="503"/>
      <c r="V31" s="503"/>
      <c r="W31" s="503"/>
      <c r="X31" s="503"/>
      <c r="Y31" s="503"/>
      <c r="Z31" s="503"/>
      <c r="AA31" s="503"/>
      <c r="AB31" s="503"/>
      <c r="AC31" s="503"/>
      <c r="AD31" s="503"/>
      <c r="AE31" s="503"/>
      <c r="AF31" s="503"/>
      <c r="AG31" s="503"/>
      <c r="AH31" s="503"/>
      <c r="AI31" s="503"/>
      <c r="AJ31" s="503"/>
      <c r="AK31" s="503"/>
      <c r="AL31" s="503"/>
      <c r="AM31" s="503"/>
      <c r="AN31" s="503"/>
      <c r="AO31" s="503"/>
      <c r="AP31" s="503"/>
      <c r="AQ31" s="503"/>
      <c r="AR31" s="503"/>
      <c r="AS31" s="503"/>
      <c r="AT31" s="503"/>
      <c r="AU31" s="503"/>
      <c r="AV31" s="503"/>
      <c r="AW31" s="503"/>
      <c r="AX31" s="503"/>
      <c r="AY31" s="503"/>
      <c r="AZ31" s="503"/>
      <c r="BA31" s="503"/>
      <c r="BB31" s="503"/>
      <c r="BC31" s="503"/>
      <c r="BD31" s="503"/>
      <c r="BE31" s="503"/>
      <c r="BF31" s="503"/>
      <c r="BG31" s="503"/>
      <c r="BH31" s="503"/>
      <c r="BI31" s="503"/>
      <c r="BJ31" s="503"/>
      <c r="BK31" s="503"/>
      <c r="BL31" s="503"/>
      <c r="BM31" s="503"/>
      <c r="BN31" s="503"/>
      <c r="BO31" s="503"/>
      <c r="BP31" s="503"/>
      <c r="BQ31" s="503"/>
      <c r="BR31" s="503"/>
      <c r="BS31" s="503"/>
      <c r="BT31" s="503"/>
      <c r="BU31" s="503"/>
      <c r="BV31" s="503"/>
      <c r="BW31" s="503"/>
      <c r="BX31" s="503"/>
      <c r="BY31" s="503"/>
      <c r="BZ31" s="503"/>
      <c r="CA31" s="503"/>
      <c r="CB31" s="503"/>
      <c r="CC31" s="503"/>
      <c r="CD31" s="503"/>
      <c r="CE31" s="503"/>
    </row>
    <row r="32" spans="1:83" s="365" customFormat="1" ht="18" customHeight="1" x14ac:dyDescent="0.2">
      <c r="A32" s="503"/>
      <c r="B32" s="538" t="s">
        <v>70</v>
      </c>
      <c r="C32" s="551" t="s">
        <v>41</v>
      </c>
      <c r="D32" s="552">
        <f>COUNTIFS(Rollup_PCA_notes!$L:$L,AUTO_NOTES!$B32,Rollup_PCA_notes!$C:$C,"X")</f>
        <v>0</v>
      </c>
      <c r="E32" s="547" t="e">
        <f t="shared" ref="E32:E37" si="25">D32/SUM(D$32:D$37)</f>
        <v>#DIV/0!</v>
      </c>
      <c r="F32" s="553">
        <f>SUMIFS(Rollup_PCA_notes!$J:$J,Rollup_PCA_notes!$L:$L,AUTO_NOTES!$B32,Rollup_PCA_notes!$C:$C,"x")</f>
        <v>0</v>
      </c>
      <c r="G32" s="553">
        <f>SUMIFS(Rollup_PCA_notes!$N:$N,Rollup_PCA_notes!$L:$L,AUTO_NOTES!$B32,Rollup_PCA_notes!$C:$C,"x")</f>
        <v>0</v>
      </c>
      <c r="H32" s="867">
        <f t="shared" ref="H32" si="26">IF(SUM(D35:D37)=0,0,(SUM(D35:D37)/SUM(D32:D37)))</f>
        <v>0</v>
      </c>
      <c r="I32" s="870" t="e">
        <f t="shared" ref="I32" si="27">SUM(F32:F37)/SUM(G32:G37)</f>
        <v>#DIV/0!</v>
      </c>
      <c r="J32" s="873" t="str">
        <f t="shared" ref="J32" si="28">IF(H32=0,"None",ROUNDDOWN((H32*100),0)&amp;"%")</f>
        <v>None</v>
      </c>
      <c r="K32" s="873" t="str">
        <f t="shared" ref="K32" si="29">IF(SUM(D33:D37)=0,"&lt;1%",IF(I32&lt;0.01,"&lt;1%",ROUNDDOWN((I32*100),0)&amp;"%"))</f>
        <v>&lt;1%</v>
      </c>
      <c r="L32" s="870" t="str">
        <f t="shared" ref="L32" si="30">IF(SUM(D33:D37)=0,"Green",IF(I32&gt;0.5,"Red",IF(I32&gt;0.01,"Yellow",IF(SUM(D34:D37)&gt;0,"Yellow","Green"))))</f>
        <v>Green</v>
      </c>
      <c r="M32" s="852" t="str">
        <f>IF(J32="None",$N32,$J32&amp;" "&amp;"of this system requires major renovation or replacement,"&amp;" "&amp;"including"&amp;" "&amp;$O32&amp;"  "&amp;"  "&amp;P32&amp;"  "&amp;"The cost to address identified needs is"&amp;" "&amp;$K32&amp;" "&amp;"of estimated cost to replace them, indicating"&amp;" "&amp;IF($L32="Red","need for systematic major renovations or replacements.",IF($L32="Yellow","need for significant renovations and potentially isolated replacements.",IF($L32="Green","need for regular maintenance and repairs.","error"))))</f>
        <v>None of this system requires major renovation or replacement.   The cost to address identified needs is  &lt;1% of estimated cost to replace them, indicating need for regular maintenance and repairs.</v>
      </c>
      <c r="N32" s="855" t="str">
        <f>$J32&amp;" "&amp;"of this system requires major renovation or replacement."&amp;" "&amp;" "&amp;P32&amp;" "&amp;"The cost to address identified needs is"&amp;"  "&amp;$K32&amp;" "&amp;"of estimated cost to replace them, indicating"&amp;" "&amp;IF($L32="Red","need for systematic major renovations or replacements.",IF($L32="Yellow","need for significant renovations and potentially isolated replacements.",IF($L32="Green","need for regular maintenance and repairs.","error")))</f>
        <v>None of this system requires major renovation or replacement.   The cost to address identified needs is  &lt;1% of estimated cost to replace them, indicating need for regular maintenance and repairs.</v>
      </c>
      <c r="O32" s="858" t="str" cm="1">
        <f t="array" ref="O32">_xlfn.TEXTJOIN(" ",TRUE,IF(Rollup_PCA_notes!$L:$L=AUTO_NOTES!$B32,Rollup_PCA_notes!$R:$R,""))</f>
        <v/>
      </c>
      <c r="P32" s="858" t="str" cm="1">
        <f t="array" ref="P32">_xlfn.TEXTJOIN(" ",TRUE,IF(Rollup_PCA_notes!$L:$L=AUTO_NOTES!$B32,Rollup_PCA_notes!$S:$S,""))</f>
        <v/>
      </c>
      <c r="Q32" s="861" t="str" cm="1">
        <f t="array" ref="Q32">_xlfn.TEXTJOIN(" ",TRUE,IF(Rollup_PCA_notes!$L:$L=AUTO_NOTES!$B32,Rollup_PCA_notes!$K:$K,""))</f>
        <v>0 0 0 0</v>
      </c>
      <c r="R32" s="864"/>
      <c r="S32" s="503"/>
      <c r="T32" s="539"/>
      <c r="U32" s="503"/>
      <c r="V32" s="503"/>
      <c r="W32" s="503"/>
      <c r="X32" s="503"/>
      <c r="Y32" s="503"/>
      <c r="Z32" s="503"/>
      <c r="AA32" s="503"/>
      <c r="AB32" s="503"/>
      <c r="AC32" s="503"/>
      <c r="AD32" s="503"/>
      <c r="AE32" s="503"/>
      <c r="AF32" s="503"/>
      <c r="AG32" s="503"/>
      <c r="AH32" s="503"/>
      <c r="AI32" s="503"/>
      <c r="AJ32" s="503"/>
      <c r="AK32" s="503"/>
      <c r="AL32" s="503"/>
      <c r="AM32" s="503"/>
      <c r="AN32" s="503"/>
      <c r="AO32" s="503"/>
      <c r="AP32" s="503"/>
      <c r="AQ32" s="503"/>
      <c r="AR32" s="503"/>
      <c r="AS32" s="503"/>
      <c r="AT32" s="503"/>
      <c r="AU32" s="503"/>
      <c r="AV32" s="503"/>
      <c r="AW32" s="503"/>
      <c r="AX32" s="503"/>
      <c r="AY32" s="503"/>
      <c r="AZ32" s="503"/>
      <c r="BA32" s="503"/>
      <c r="BB32" s="503"/>
      <c r="BC32" s="503"/>
      <c r="BD32" s="503"/>
      <c r="BE32" s="503"/>
      <c r="BF32" s="503"/>
      <c r="BG32" s="503"/>
      <c r="BH32" s="503"/>
      <c r="BI32" s="503"/>
      <c r="BJ32" s="503"/>
      <c r="BK32" s="503"/>
      <c r="BL32" s="503"/>
      <c r="BM32" s="503"/>
      <c r="BN32" s="503"/>
      <c r="BO32" s="503"/>
      <c r="BP32" s="503"/>
      <c r="BQ32" s="503"/>
      <c r="BR32" s="503"/>
      <c r="BS32" s="503"/>
      <c r="BT32" s="503"/>
      <c r="BU32" s="503"/>
      <c r="BV32" s="503"/>
      <c r="BW32" s="503"/>
      <c r="BX32" s="503"/>
      <c r="BY32" s="503"/>
      <c r="BZ32" s="503"/>
      <c r="CA32" s="503"/>
      <c r="CB32" s="503"/>
      <c r="CC32" s="503"/>
      <c r="CD32" s="503"/>
      <c r="CE32" s="503"/>
    </row>
    <row r="33" spans="1:83" s="365" customFormat="1" ht="18" customHeight="1" x14ac:dyDescent="0.2">
      <c r="A33" s="503"/>
      <c r="B33" s="540" t="str">
        <f>B32</f>
        <v>Foundation</v>
      </c>
      <c r="C33" s="554" t="s">
        <v>889</v>
      </c>
      <c r="D33" s="555">
        <f>COUNTIFS(Rollup_PCA_notes!$L:$L,AUTO_NOTES!$B33,Rollup_PCA_notes!$D:$D,"X")</f>
        <v>0</v>
      </c>
      <c r="E33" s="548" t="e">
        <f t="shared" si="25"/>
        <v>#DIV/0!</v>
      </c>
      <c r="F33" s="556">
        <f>SUMIFS(Rollup_PCA_notes!$J:$J,Rollup_PCA_notes!$L:$L,AUTO_NOTES!$B33,Rollup_PCA_notes!$D:$D,"x")</f>
        <v>0</v>
      </c>
      <c r="G33" s="556">
        <f>SUMIFS(Rollup_PCA_notes!$N:$N,Rollup_PCA_notes!$L:$L,AUTO_NOTES!$B33,Rollup_PCA_notes!$D:$D,"x")</f>
        <v>0</v>
      </c>
      <c r="H33" s="868"/>
      <c r="I33" s="871"/>
      <c r="J33" s="874"/>
      <c r="K33" s="874"/>
      <c r="L33" s="871"/>
      <c r="M33" s="853"/>
      <c r="N33" s="856"/>
      <c r="O33" s="859"/>
      <c r="P33" s="859"/>
      <c r="Q33" s="862"/>
      <c r="R33" s="865"/>
      <c r="S33" s="503"/>
      <c r="T33" s="539"/>
      <c r="U33" s="503"/>
      <c r="V33" s="503"/>
      <c r="W33" s="503"/>
      <c r="X33" s="503"/>
      <c r="Y33" s="503"/>
      <c r="Z33" s="503"/>
      <c r="AA33" s="503"/>
      <c r="AB33" s="503"/>
      <c r="AC33" s="503"/>
      <c r="AD33" s="503"/>
      <c r="AE33" s="503"/>
      <c r="AF33" s="503"/>
      <c r="AG33" s="503"/>
      <c r="AH33" s="503"/>
      <c r="AI33" s="503"/>
      <c r="AJ33" s="503"/>
      <c r="AK33" s="503"/>
      <c r="AL33" s="503"/>
      <c r="AM33" s="503"/>
      <c r="AN33" s="503"/>
      <c r="AO33" s="503"/>
      <c r="AP33" s="503"/>
      <c r="AQ33" s="503"/>
      <c r="AR33" s="503"/>
      <c r="AS33" s="503"/>
      <c r="AT33" s="503"/>
      <c r="AU33" s="503"/>
      <c r="AV33" s="503"/>
      <c r="AW33" s="503"/>
      <c r="AX33" s="503"/>
      <c r="AY33" s="503"/>
      <c r="AZ33" s="503"/>
      <c r="BA33" s="503"/>
      <c r="BB33" s="503"/>
      <c r="BC33" s="503"/>
      <c r="BD33" s="503"/>
      <c r="BE33" s="503"/>
      <c r="BF33" s="503"/>
      <c r="BG33" s="503"/>
      <c r="BH33" s="503"/>
      <c r="BI33" s="503"/>
      <c r="BJ33" s="503"/>
      <c r="BK33" s="503"/>
      <c r="BL33" s="503"/>
      <c r="BM33" s="503"/>
      <c r="BN33" s="503"/>
      <c r="BO33" s="503"/>
      <c r="BP33" s="503"/>
      <c r="BQ33" s="503"/>
      <c r="BR33" s="503"/>
      <c r="BS33" s="503"/>
      <c r="BT33" s="503"/>
      <c r="BU33" s="503"/>
      <c r="BV33" s="503"/>
      <c r="BW33" s="503"/>
      <c r="BX33" s="503"/>
      <c r="BY33" s="503"/>
      <c r="BZ33" s="503"/>
      <c r="CA33" s="503"/>
      <c r="CB33" s="503"/>
      <c r="CC33" s="503"/>
      <c r="CD33" s="503"/>
      <c r="CE33" s="503"/>
    </row>
    <row r="34" spans="1:83" s="365" customFormat="1" ht="18" customHeight="1" x14ac:dyDescent="0.2">
      <c r="A34" s="503"/>
      <c r="B34" s="540" t="str">
        <f>B33</f>
        <v>Foundation</v>
      </c>
      <c r="C34" s="554" t="s">
        <v>43</v>
      </c>
      <c r="D34" s="555">
        <f>COUNTIFS(Rollup_PCA_notes!$L:$L,AUTO_NOTES!$B34,Rollup_PCA_notes!$E:$E,"X")</f>
        <v>0</v>
      </c>
      <c r="E34" s="548" t="e">
        <f t="shared" si="25"/>
        <v>#DIV/0!</v>
      </c>
      <c r="F34" s="556">
        <f>SUMIFS(Rollup_PCA_notes!$J:$J,Rollup_PCA_notes!$L:$L,AUTO_NOTES!$B34,Rollup_PCA_notes!$E:$E,"x")</f>
        <v>0</v>
      </c>
      <c r="G34" s="556">
        <f>SUMIFS(Rollup_PCA_notes!$N:$N,Rollup_PCA_notes!$L:$L,AUTO_NOTES!$B34,Rollup_PCA_notes!$E:$E,"x")</f>
        <v>0</v>
      </c>
      <c r="H34" s="868"/>
      <c r="I34" s="871"/>
      <c r="J34" s="874"/>
      <c r="K34" s="874"/>
      <c r="L34" s="871"/>
      <c r="M34" s="853"/>
      <c r="N34" s="856"/>
      <c r="O34" s="859"/>
      <c r="P34" s="859"/>
      <c r="Q34" s="862"/>
      <c r="R34" s="865"/>
      <c r="S34" s="503"/>
      <c r="T34" s="539"/>
      <c r="U34" s="503"/>
      <c r="V34" s="503"/>
      <c r="W34" s="503"/>
      <c r="X34" s="503"/>
      <c r="Y34" s="503"/>
      <c r="Z34" s="503"/>
      <c r="AA34" s="503"/>
      <c r="AB34" s="503"/>
      <c r="AC34" s="503"/>
      <c r="AD34" s="503"/>
      <c r="AE34" s="503"/>
      <c r="AF34" s="503"/>
      <c r="AG34" s="503"/>
      <c r="AH34" s="503"/>
      <c r="AI34" s="503"/>
      <c r="AJ34" s="503"/>
      <c r="AK34" s="503"/>
      <c r="AL34" s="503"/>
      <c r="AM34" s="503"/>
      <c r="AN34" s="503"/>
      <c r="AO34" s="503"/>
      <c r="AP34" s="503"/>
      <c r="AQ34" s="503"/>
      <c r="AR34" s="503"/>
      <c r="AS34" s="503"/>
      <c r="AT34" s="503"/>
      <c r="AU34" s="503"/>
      <c r="AV34" s="503"/>
      <c r="AW34" s="503"/>
      <c r="AX34" s="503"/>
      <c r="AY34" s="503"/>
      <c r="AZ34" s="503"/>
      <c r="BA34" s="503"/>
      <c r="BB34" s="503"/>
      <c r="BC34" s="503"/>
      <c r="BD34" s="503"/>
      <c r="BE34" s="503"/>
      <c r="BF34" s="503"/>
      <c r="BG34" s="503"/>
      <c r="BH34" s="503"/>
      <c r="BI34" s="503"/>
      <c r="BJ34" s="503"/>
      <c r="BK34" s="503"/>
      <c r="BL34" s="503"/>
      <c r="BM34" s="503"/>
      <c r="BN34" s="503"/>
      <c r="BO34" s="503"/>
      <c r="BP34" s="503"/>
      <c r="BQ34" s="503"/>
      <c r="BR34" s="503"/>
      <c r="BS34" s="503"/>
      <c r="BT34" s="503"/>
      <c r="BU34" s="503"/>
      <c r="BV34" s="503"/>
      <c r="BW34" s="503"/>
      <c r="BX34" s="503"/>
      <c r="BY34" s="503"/>
      <c r="BZ34" s="503"/>
      <c r="CA34" s="503"/>
      <c r="CB34" s="503"/>
      <c r="CC34" s="503"/>
      <c r="CD34" s="503"/>
      <c r="CE34" s="503"/>
    </row>
    <row r="35" spans="1:83" s="365" customFormat="1" ht="18" customHeight="1" x14ac:dyDescent="0.2">
      <c r="A35" s="503"/>
      <c r="B35" s="540" t="str">
        <f>B34</f>
        <v>Foundation</v>
      </c>
      <c r="C35" s="554" t="s">
        <v>890</v>
      </c>
      <c r="D35" s="555">
        <f>COUNTIFS(Rollup_PCA_notes!$L:$L,AUTO_NOTES!$B35,Rollup_PCA_notes!$F:$F,"X")</f>
        <v>0</v>
      </c>
      <c r="E35" s="548" t="e">
        <f t="shared" si="25"/>
        <v>#DIV/0!</v>
      </c>
      <c r="F35" s="556">
        <f>SUMIFS(Rollup_PCA_notes!$J:$J,Rollup_PCA_notes!$L:$L,AUTO_NOTES!$B35,Rollup_PCA_notes!$F:$F,"x")</f>
        <v>0</v>
      </c>
      <c r="G35" s="556">
        <f>SUMIFS(Rollup_PCA_notes!$N:$N,Rollup_PCA_notes!$L:$L,AUTO_NOTES!$B35,Rollup_PCA_notes!$F:$F,"x")</f>
        <v>0</v>
      </c>
      <c r="H35" s="868"/>
      <c r="I35" s="871"/>
      <c r="J35" s="874"/>
      <c r="K35" s="874"/>
      <c r="L35" s="871"/>
      <c r="M35" s="853"/>
      <c r="N35" s="856"/>
      <c r="O35" s="859"/>
      <c r="P35" s="859"/>
      <c r="Q35" s="862"/>
      <c r="R35" s="865"/>
      <c r="S35" s="503"/>
      <c r="T35" s="539"/>
      <c r="U35" s="503"/>
      <c r="V35" s="503"/>
      <c r="W35" s="503"/>
      <c r="X35" s="503"/>
      <c r="Y35" s="503"/>
      <c r="Z35" s="503"/>
      <c r="AA35" s="503"/>
      <c r="AB35" s="503"/>
      <c r="AC35" s="503"/>
      <c r="AD35" s="503"/>
      <c r="AE35" s="503"/>
      <c r="AF35" s="503"/>
      <c r="AG35" s="503"/>
      <c r="AH35" s="503"/>
      <c r="AI35" s="503"/>
      <c r="AJ35" s="503"/>
      <c r="AK35" s="503"/>
      <c r="AL35" s="503"/>
      <c r="AM35" s="503"/>
      <c r="AN35" s="503"/>
      <c r="AO35" s="503"/>
      <c r="AP35" s="503"/>
      <c r="AQ35" s="503"/>
      <c r="AR35" s="503"/>
      <c r="AS35" s="503"/>
      <c r="AT35" s="503"/>
      <c r="AU35" s="503"/>
      <c r="AV35" s="503"/>
      <c r="AW35" s="503"/>
      <c r="AX35" s="503"/>
      <c r="AY35" s="503"/>
      <c r="AZ35" s="503"/>
      <c r="BA35" s="503"/>
      <c r="BB35" s="503"/>
      <c r="BC35" s="503"/>
      <c r="BD35" s="503"/>
      <c r="BE35" s="503"/>
      <c r="BF35" s="503"/>
      <c r="BG35" s="503"/>
      <c r="BH35" s="503"/>
      <c r="BI35" s="503"/>
      <c r="BJ35" s="503"/>
      <c r="BK35" s="503"/>
      <c r="BL35" s="503"/>
      <c r="BM35" s="503"/>
      <c r="BN35" s="503"/>
      <c r="BO35" s="503"/>
      <c r="BP35" s="503"/>
      <c r="BQ35" s="503"/>
      <c r="BR35" s="503"/>
      <c r="BS35" s="503"/>
      <c r="BT35" s="503"/>
      <c r="BU35" s="503"/>
      <c r="BV35" s="503"/>
      <c r="BW35" s="503"/>
      <c r="BX35" s="503"/>
      <c r="BY35" s="503"/>
      <c r="BZ35" s="503"/>
      <c r="CA35" s="503"/>
      <c r="CB35" s="503"/>
      <c r="CC35" s="503"/>
      <c r="CD35" s="503"/>
      <c r="CE35" s="503"/>
    </row>
    <row r="36" spans="1:83" s="365" customFormat="1" ht="18" customHeight="1" x14ac:dyDescent="0.2">
      <c r="A36" s="503"/>
      <c r="B36" s="540" t="str">
        <f>B35</f>
        <v>Foundation</v>
      </c>
      <c r="C36" s="554" t="s">
        <v>45</v>
      </c>
      <c r="D36" s="555">
        <f>COUNTIFS(Rollup_PCA_notes!$L:$L,AUTO_NOTES!$B36,Rollup_PCA_notes!$G:$G,"X")</f>
        <v>0</v>
      </c>
      <c r="E36" s="548" t="e">
        <f t="shared" si="25"/>
        <v>#DIV/0!</v>
      </c>
      <c r="F36" s="556">
        <f>SUMIFS(Rollup_PCA_notes!$J:$J,Rollup_PCA_notes!$L:$L,AUTO_NOTES!$B36,Rollup_PCA_notes!$G:$G,"x")</f>
        <v>0</v>
      </c>
      <c r="G36" s="556">
        <f>SUMIFS(Rollup_PCA_notes!$N:$N,Rollup_PCA_notes!$L:$L,AUTO_NOTES!$B36,Rollup_PCA_notes!$G:$G,"x")</f>
        <v>0</v>
      </c>
      <c r="H36" s="868"/>
      <c r="I36" s="871"/>
      <c r="J36" s="874"/>
      <c r="K36" s="874"/>
      <c r="L36" s="871"/>
      <c r="M36" s="853"/>
      <c r="N36" s="856"/>
      <c r="O36" s="859"/>
      <c r="P36" s="859"/>
      <c r="Q36" s="862"/>
      <c r="R36" s="865"/>
      <c r="S36" s="503"/>
      <c r="T36" s="539"/>
      <c r="U36" s="503"/>
      <c r="V36" s="503"/>
      <c r="W36" s="503"/>
      <c r="X36" s="503"/>
      <c r="Y36" s="503"/>
      <c r="Z36" s="503"/>
      <c r="AA36" s="503"/>
      <c r="AB36" s="503"/>
      <c r="AC36" s="503"/>
      <c r="AD36" s="503"/>
      <c r="AE36" s="503"/>
      <c r="AF36" s="503"/>
      <c r="AG36" s="503"/>
      <c r="AH36" s="503"/>
      <c r="AI36" s="503"/>
      <c r="AJ36" s="503"/>
      <c r="AK36" s="503"/>
      <c r="AL36" s="503"/>
      <c r="AM36" s="503"/>
      <c r="AN36" s="503"/>
      <c r="AO36" s="503"/>
      <c r="AP36" s="503"/>
      <c r="AQ36" s="503"/>
      <c r="AR36" s="503"/>
      <c r="AS36" s="503"/>
      <c r="AT36" s="503"/>
      <c r="AU36" s="503"/>
      <c r="AV36" s="503"/>
      <c r="AW36" s="503"/>
      <c r="AX36" s="503"/>
      <c r="AY36" s="503"/>
      <c r="AZ36" s="503"/>
      <c r="BA36" s="503"/>
      <c r="BB36" s="503"/>
      <c r="BC36" s="503"/>
      <c r="BD36" s="503"/>
      <c r="BE36" s="503"/>
      <c r="BF36" s="503"/>
      <c r="BG36" s="503"/>
      <c r="BH36" s="503"/>
      <c r="BI36" s="503"/>
      <c r="BJ36" s="503"/>
      <c r="BK36" s="503"/>
      <c r="BL36" s="503"/>
      <c r="BM36" s="503"/>
      <c r="BN36" s="503"/>
      <c r="BO36" s="503"/>
      <c r="BP36" s="503"/>
      <c r="BQ36" s="503"/>
      <c r="BR36" s="503"/>
      <c r="BS36" s="503"/>
      <c r="BT36" s="503"/>
      <c r="BU36" s="503"/>
      <c r="BV36" s="503"/>
      <c r="BW36" s="503"/>
      <c r="BX36" s="503"/>
      <c r="BY36" s="503"/>
      <c r="BZ36" s="503"/>
      <c r="CA36" s="503"/>
      <c r="CB36" s="503"/>
      <c r="CC36" s="503"/>
      <c r="CD36" s="503"/>
      <c r="CE36" s="503"/>
    </row>
    <row r="37" spans="1:83" s="365" customFormat="1" ht="18" customHeight="1" thickBot="1" x14ac:dyDescent="0.25">
      <c r="A37" s="503"/>
      <c r="B37" s="541" t="str">
        <f>B36</f>
        <v>Foundation</v>
      </c>
      <c r="C37" s="557" t="s">
        <v>46</v>
      </c>
      <c r="D37" s="558">
        <f>COUNTIFS(Rollup_PCA_notes!$L:$L,AUTO_NOTES!$B37,Rollup_PCA_notes!$H:$H,"X")</f>
        <v>0</v>
      </c>
      <c r="E37" s="549" t="e">
        <f t="shared" si="25"/>
        <v>#DIV/0!</v>
      </c>
      <c r="F37" s="559">
        <f>SUMIFS(Rollup_PCA_notes!$J:$J,Rollup_PCA_notes!$L:$L,AUTO_NOTES!$B37,Rollup_PCA_notes!$H:$H,"x")</f>
        <v>0</v>
      </c>
      <c r="G37" s="559">
        <f>SUMIFS(Rollup_PCA_notes!$N:$N,Rollup_PCA_notes!$L:$L,AUTO_NOTES!$B37,Rollup_PCA_notes!$H:$H,"x")</f>
        <v>0</v>
      </c>
      <c r="H37" s="869"/>
      <c r="I37" s="872"/>
      <c r="J37" s="875"/>
      <c r="K37" s="875"/>
      <c r="L37" s="872"/>
      <c r="M37" s="854"/>
      <c r="N37" s="857"/>
      <c r="O37" s="860"/>
      <c r="P37" s="860"/>
      <c r="Q37" s="863"/>
      <c r="R37" s="866"/>
      <c r="S37" s="503"/>
      <c r="T37" s="539"/>
      <c r="U37" s="503"/>
      <c r="V37" s="503"/>
      <c r="W37" s="503"/>
      <c r="X37" s="503"/>
      <c r="Y37" s="503"/>
      <c r="Z37" s="503"/>
      <c r="AA37" s="503"/>
      <c r="AB37" s="503"/>
      <c r="AC37" s="503"/>
      <c r="AD37" s="503"/>
      <c r="AE37" s="503"/>
      <c r="AF37" s="503"/>
      <c r="AG37" s="503"/>
      <c r="AH37" s="503"/>
      <c r="AI37" s="503"/>
      <c r="AJ37" s="503"/>
      <c r="AK37" s="503"/>
      <c r="AL37" s="503"/>
      <c r="AM37" s="503"/>
      <c r="AN37" s="503"/>
      <c r="AO37" s="503"/>
      <c r="AP37" s="503"/>
      <c r="AQ37" s="503"/>
      <c r="AR37" s="503"/>
      <c r="AS37" s="503"/>
      <c r="AT37" s="503"/>
      <c r="AU37" s="503"/>
      <c r="AV37" s="503"/>
      <c r="AW37" s="503"/>
      <c r="AX37" s="503"/>
      <c r="AY37" s="503"/>
      <c r="AZ37" s="503"/>
      <c r="BA37" s="503"/>
      <c r="BB37" s="503"/>
      <c r="BC37" s="503"/>
      <c r="BD37" s="503"/>
      <c r="BE37" s="503"/>
      <c r="BF37" s="503"/>
      <c r="BG37" s="503"/>
      <c r="BH37" s="503"/>
      <c r="BI37" s="503"/>
      <c r="BJ37" s="503"/>
      <c r="BK37" s="503"/>
      <c r="BL37" s="503"/>
      <c r="BM37" s="503"/>
      <c r="BN37" s="503"/>
      <c r="BO37" s="503"/>
      <c r="BP37" s="503"/>
      <c r="BQ37" s="503"/>
      <c r="BR37" s="503"/>
      <c r="BS37" s="503"/>
      <c r="BT37" s="503"/>
      <c r="BU37" s="503"/>
      <c r="BV37" s="503"/>
      <c r="BW37" s="503"/>
      <c r="BX37" s="503"/>
      <c r="BY37" s="503"/>
      <c r="BZ37" s="503"/>
      <c r="CA37" s="503"/>
      <c r="CB37" s="503"/>
      <c r="CC37" s="503"/>
      <c r="CD37" s="503"/>
      <c r="CE37" s="503"/>
    </row>
    <row r="38" spans="1:83" s="365" customFormat="1" ht="18" customHeight="1" x14ac:dyDescent="0.2">
      <c r="A38" s="503"/>
      <c r="B38" s="538" t="s">
        <v>326</v>
      </c>
      <c r="C38" s="551" t="s">
        <v>41</v>
      </c>
      <c r="D38" s="552">
        <f>COUNTIFS(Rollup_PCA_notes!$L:$L,AUTO_NOTES!$B38,Rollup_PCA_notes!$C:$C,"X")</f>
        <v>0</v>
      </c>
      <c r="E38" s="547" t="e">
        <f t="shared" ref="E38:E43" si="31">D38/SUM(D$38:D$43)</f>
        <v>#DIV/0!</v>
      </c>
      <c r="F38" s="553">
        <f>SUMIFS(Rollup_PCA_notes!$J:$J,Rollup_PCA_notes!$L:$L,AUTO_NOTES!$B38,Rollup_PCA_notes!$C:$C,"x")</f>
        <v>0</v>
      </c>
      <c r="G38" s="553">
        <f>SUMIFS(Rollup_PCA_notes!$N:$N,Rollup_PCA_notes!$L:$L,AUTO_NOTES!$B38,Rollup_PCA_notes!$C:$C,"x")</f>
        <v>0</v>
      </c>
      <c r="H38" s="867">
        <f t="shared" ref="H38" si="32">IF(SUM(D41:D43)=0,0,(SUM(D41:D43)/SUM(D38:D43)))</f>
        <v>0</v>
      </c>
      <c r="I38" s="870" t="e">
        <f t="shared" ref="I38" si="33">SUM(F38:F43)/SUM(G38:G43)</f>
        <v>#DIV/0!</v>
      </c>
      <c r="J38" s="873" t="str">
        <f t="shared" ref="J38" si="34">IF(H38=0,"None",ROUNDDOWN((H38*100),0)&amp;"%")</f>
        <v>None</v>
      </c>
      <c r="K38" s="873" t="str">
        <f t="shared" ref="K38" si="35">IF(SUM(D39:D43)=0,"&lt;1%",IF(I38&lt;0.01,"&lt;1%",ROUNDDOWN((I38*100),0)&amp;"%"))</f>
        <v>&lt;1%</v>
      </c>
      <c r="L38" s="870" t="str">
        <f t="shared" ref="L38" si="36">IF(SUM(D39:D43)=0,"Green",IF(I38&gt;0.5,"Red",IF(I38&gt;0.01,"Yellow",IF(SUM(D40:D43)&gt;0,"Yellow","Green"))))</f>
        <v>Green</v>
      </c>
      <c r="M38" s="852" t="str">
        <f>IF(J38="None",$N38,$J38&amp;" "&amp;"of this system requires major renovation or replacement,"&amp;" "&amp;"including"&amp;" "&amp;$O38&amp;"  "&amp;"  "&amp;P38&amp;"  "&amp;"The cost to address identified needs is"&amp;" "&amp;$K38&amp;" "&amp;"of estimated cost to replace them, indicating"&amp;" "&amp;IF($L38="Red","need for systematic major renovations or replacements.",IF($L38="Yellow","need for significant renovations and potentially isolated replacements.",IF($L38="Green","need for regular maintenance and repairs.","error"))))</f>
        <v>None of this system requires major renovation or replacement.   The cost to address identified needs is  &lt;1% of estimated cost to replace them, indicating need for regular maintenance and repairs.</v>
      </c>
      <c r="N38" s="855" t="str">
        <f>$J38&amp;" "&amp;"of this system requires major renovation or replacement."&amp;" "&amp;" "&amp;P38&amp;" "&amp;"The cost to address identified needs is"&amp;"  "&amp;$K38&amp;" "&amp;"of estimated cost to replace them, indicating"&amp;" "&amp;IF($L38="Red","need for systematic major renovations or replacements.",IF($L38="Yellow","need for significant renovations and potentially isolated replacements.",IF($L38="Green","need for regular maintenance and repairs.","error")))</f>
        <v>None of this system requires major renovation or replacement.   The cost to address identified needs is  &lt;1% of estimated cost to replace them, indicating need for regular maintenance and repairs.</v>
      </c>
      <c r="O38" s="858" t="str" cm="1">
        <f t="array" ref="O38">_xlfn.TEXTJOIN(" ",TRUE,IF(Rollup_PCA_notes!$L:$L=AUTO_NOTES!$B38,Rollup_PCA_notes!$R:$R,""))</f>
        <v/>
      </c>
      <c r="P38" s="858" t="str" cm="1">
        <f t="array" ref="P38">_xlfn.TEXTJOIN(" ",TRUE,IF(Rollup_PCA_notes!$L:$L=AUTO_NOTES!$B38,Rollup_PCA_notes!$S:$S,""))</f>
        <v/>
      </c>
      <c r="Q38" s="861" t="str" cm="1">
        <f t="array" ref="Q38">_xlfn.TEXTJOIN(" ",TRUE,IF(Rollup_PCA_notes!$L:$L=AUTO_NOTES!$B38,Rollup_PCA_notes!$K:$K,""))</f>
        <v>0 0 0 0 0 0 0 0</v>
      </c>
      <c r="R38" s="876"/>
      <c r="S38" s="503"/>
      <c r="T38" s="539"/>
      <c r="U38" s="503"/>
      <c r="V38" s="503"/>
      <c r="W38" s="503"/>
      <c r="X38" s="503"/>
      <c r="Y38" s="503"/>
      <c r="Z38" s="503"/>
      <c r="AA38" s="503"/>
      <c r="AB38" s="503"/>
      <c r="AC38" s="503"/>
      <c r="AD38" s="503"/>
      <c r="AE38" s="503"/>
      <c r="AF38" s="503"/>
      <c r="AG38" s="503"/>
      <c r="AH38" s="503"/>
      <c r="AI38" s="503"/>
      <c r="AJ38" s="503"/>
      <c r="AK38" s="503"/>
      <c r="AL38" s="503"/>
      <c r="AM38" s="503"/>
      <c r="AN38" s="503"/>
      <c r="AO38" s="503"/>
      <c r="AP38" s="503"/>
      <c r="AQ38" s="503"/>
      <c r="AR38" s="503"/>
      <c r="AS38" s="503"/>
      <c r="AT38" s="503"/>
      <c r="AU38" s="503"/>
      <c r="AV38" s="503"/>
      <c r="AW38" s="503"/>
      <c r="AX38" s="503"/>
      <c r="AY38" s="503"/>
      <c r="AZ38" s="503"/>
      <c r="BA38" s="503"/>
      <c r="BB38" s="503"/>
      <c r="BC38" s="503"/>
      <c r="BD38" s="503"/>
      <c r="BE38" s="503"/>
      <c r="BF38" s="503"/>
      <c r="BG38" s="503"/>
      <c r="BH38" s="503"/>
      <c r="BI38" s="503"/>
      <c r="BJ38" s="503"/>
      <c r="BK38" s="503"/>
      <c r="BL38" s="503"/>
      <c r="BM38" s="503"/>
      <c r="BN38" s="503"/>
      <c r="BO38" s="503"/>
      <c r="BP38" s="503"/>
      <c r="BQ38" s="503"/>
      <c r="BR38" s="503"/>
      <c r="BS38" s="503"/>
      <c r="BT38" s="503"/>
      <c r="BU38" s="503"/>
      <c r="BV38" s="503"/>
      <c r="BW38" s="503"/>
      <c r="BX38" s="503"/>
      <c r="BY38" s="503"/>
      <c r="BZ38" s="503"/>
      <c r="CA38" s="503"/>
      <c r="CB38" s="503"/>
      <c r="CC38" s="503"/>
      <c r="CD38" s="503"/>
      <c r="CE38" s="503"/>
    </row>
    <row r="39" spans="1:83" s="365" customFormat="1" ht="18" customHeight="1" x14ac:dyDescent="0.2">
      <c r="A39" s="503"/>
      <c r="B39" s="540" t="str">
        <f>B38</f>
        <v>Furnishing, Fixtures, Equipment</v>
      </c>
      <c r="C39" s="554" t="s">
        <v>889</v>
      </c>
      <c r="D39" s="555">
        <f>COUNTIFS(Rollup_PCA_notes!$L:$L,AUTO_NOTES!$B39,Rollup_PCA_notes!$D:$D,"X")</f>
        <v>0</v>
      </c>
      <c r="E39" s="548" t="e">
        <f t="shared" si="31"/>
        <v>#DIV/0!</v>
      </c>
      <c r="F39" s="556">
        <f>SUMIFS(Rollup_PCA_notes!$J:$J,Rollup_PCA_notes!$L:$L,AUTO_NOTES!$B39,Rollup_PCA_notes!$D:$D,"x")</f>
        <v>0</v>
      </c>
      <c r="G39" s="556">
        <f>SUMIFS(Rollup_PCA_notes!$N:$N,Rollup_PCA_notes!$L:$L,AUTO_NOTES!$B39,Rollup_PCA_notes!$D:$D,"x")</f>
        <v>0</v>
      </c>
      <c r="H39" s="868"/>
      <c r="I39" s="871"/>
      <c r="J39" s="874"/>
      <c r="K39" s="874"/>
      <c r="L39" s="871"/>
      <c r="M39" s="853"/>
      <c r="N39" s="856"/>
      <c r="O39" s="859"/>
      <c r="P39" s="859"/>
      <c r="Q39" s="862"/>
      <c r="R39" s="877"/>
      <c r="S39" s="503"/>
      <c r="T39" s="539"/>
      <c r="U39" s="503"/>
      <c r="V39" s="503"/>
      <c r="W39" s="503"/>
      <c r="X39" s="503"/>
      <c r="Y39" s="503"/>
      <c r="Z39" s="503"/>
      <c r="AA39" s="503"/>
      <c r="AB39" s="503"/>
      <c r="AC39" s="503"/>
      <c r="AD39" s="503"/>
      <c r="AE39" s="503"/>
      <c r="AF39" s="503"/>
      <c r="AG39" s="503"/>
      <c r="AH39" s="503"/>
      <c r="AI39" s="503"/>
      <c r="AJ39" s="503"/>
      <c r="AK39" s="503"/>
      <c r="AL39" s="503"/>
      <c r="AM39" s="503"/>
      <c r="AN39" s="503"/>
      <c r="AO39" s="503"/>
      <c r="AP39" s="503"/>
      <c r="AQ39" s="503"/>
      <c r="AR39" s="503"/>
      <c r="AS39" s="503"/>
      <c r="AT39" s="503"/>
      <c r="AU39" s="503"/>
      <c r="AV39" s="503"/>
      <c r="AW39" s="503"/>
      <c r="AX39" s="503"/>
      <c r="AY39" s="503"/>
      <c r="AZ39" s="503"/>
      <c r="BA39" s="503"/>
      <c r="BB39" s="503"/>
      <c r="BC39" s="503"/>
      <c r="BD39" s="503"/>
      <c r="BE39" s="503"/>
      <c r="BF39" s="503"/>
      <c r="BG39" s="503"/>
      <c r="BH39" s="503"/>
      <c r="BI39" s="503"/>
      <c r="BJ39" s="503"/>
      <c r="BK39" s="503"/>
      <c r="BL39" s="503"/>
      <c r="BM39" s="503"/>
      <c r="BN39" s="503"/>
      <c r="BO39" s="503"/>
      <c r="BP39" s="503"/>
      <c r="BQ39" s="503"/>
      <c r="BR39" s="503"/>
      <c r="BS39" s="503"/>
      <c r="BT39" s="503"/>
      <c r="BU39" s="503"/>
      <c r="BV39" s="503"/>
      <c r="BW39" s="503"/>
      <c r="BX39" s="503"/>
      <c r="BY39" s="503"/>
      <c r="BZ39" s="503"/>
      <c r="CA39" s="503"/>
      <c r="CB39" s="503"/>
      <c r="CC39" s="503"/>
      <c r="CD39" s="503"/>
      <c r="CE39" s="503"/>
    </row>
    <row r="40" spans="1:83" s="365" customFormat="1" ht="18" customHeight="1" x14ac:dyDescent="0.2">
      <c r="A40" s="503"/>
      <c r="B40" s="540" t="str">
        <f>B39</f>
        <v>Furnishing, Fixtures, Equipment</v>
      </c>
      <c r="C40" s="554" t="s">
        <v>43</v>
      </c>
      <c r="D40" s="555">
        <f>COUNTIFS(Rollup_PCA_notes!$L:$L,AUTO_NOTES!$B40,Rollup_PCA_notes!$E:$E,"X")</f>
        <v>0</v>
      </c>
      <c r="E40" s="548" t="e">
        <f t="shared" si="31"/>
        <v>#DIV/0!</v>
      </c>
      <c r="F40" s="556">
        <f>SUMIFS(Rollup_PCA_notes!$J:$J,Rollup_PCA_notes!$L:$L,AUTO_NOTES!$B40,Rollup_PCA_notes!$E:$E,"x")</f>
        <v>0</v>
      </c>
      <c r="G40" s="556">
        <f>SUMIFS(Rollup_PCA_notes!$N:$N,Rollup_PCA_notes!$L:$L,AUTO_NOTES!$B40,Rollup_PCA_notes!$E:$E,"x")</f>
        <v>0</v>
      </c>
      <c r="H40" s="868"/>
      <c r="I40" s="871"/>
      <c r="J40" s="874"/>
      <c r="K40" s="874"/>
      <c r="L40" s="871"/>
      <c r="M40" s="853"/>
      <c r="N40" s="856"/>
      <c r="O40" s="859"/>
      <c r="P40" s="859"/>
      <c r="Q40" s="862"/>
      <c r="R40" s="877"/>
      <c r="S40" s="503"/>
      <c r="T40" s="539"/>
      <c r="U40" s="503"/>
      <c r="V40" s="503"/>
      <c r="W40" s="503"/>
      <c r="X40" s="503"/>
      <c r="Y40" s="503"/>
      <c r="Z40" s="503"/>
      <c r="AA40" s="503"/>
      <c r="AB40" s="503"/>
      <c r="AC40" s="503"/>
      <c r="AD40" s="503"/>
      <c r="AE40" s="503"/>
      <c r="AF40" s="503"/>
      <c r="AG40" s="503"/>
      <c r="AH40" s="503"/>
      <c r="AI40" s="503"/>
      <c r="AJ40" s="503"/>
      <c r="AK40" s="503"/>
      <c r="AL40" s="503"/>
      <c r="AM40" s="503"/>
      <c r="AN40" s="503"/>
      <c r="AO40" s="503"/>
      <c r="AP40" s="503"/>
      <c r="AQ40" s="503"/>
      <c r="AR40" s="503"/>
      <c r="AS40" s="503"/>
      <c r="AT40" s="503"/>
      <c r="AU40" s="503"/>
      <c r="AV40" s="503"/>
      <c r="AW40" s="503"/>
      <c r="AX40" s="503"/>
      <c r="AY40" s="503"/>
      <c r="AZ40" s="503"/>
      <c r="BA40" s="503"/>
      <c r="BB40" s="503"/>
      <c r="BC40" s="503"/>
      <c r="BD40" s="503"/>
      <c r="BE40" s="503"/>
      <c r="BF40" s="503"/>
      <c r="BG40" s="503"/>
      <c r="BH40" s="503"/>
      <c r="BI40" s="503"/>
      <c r="BJ40" s="503"/>
      <c r="BK40" s="503"/>
      <c r="BL40" s="503"/>
      <c r="BM40" s="503"/>
      <c r="BN40" s="503"/>
      <c r="BO40" s="503"/>
      <c r="BP40" s="503"/>
      <c r="BQ40" s="503"/>
      <c r="BR40" s="503"/>
      <c r="BS40" s="503"/>
      <c r="BT40" s="503"/>
      <c r="BU40" s="503"/>
      <c r="BV40" s="503"/>
      <c r="BW40" s="503"/>
      <c r="BX40" s="503"/>
      <c r="BY40" s="503"/>
      <c r="BZ40" s="503"/>
      <c r="CA40" s="503"/>
      <c r="CB40" s="503"/>
      <c r="CC40" s="503"/>
      <c r="CD40" s="503"/>
      <c r="CE40" s="503"/>
    </row>
    <row r="41" spans="1:83" s="365" customFormat="1" ht="18" customHeight="1" x14ac:dyDescent="0.2">
      <c r="A41" s="503"/>
      <c r="B41" s="540" t="str">
        <f>B40</f>
        <v>Furnishing, Fixtures, Equipment</v>
      </c>
      <c r="C41" s="554" t="s">
        <v>890</v>
      </c>
      <c r="D41" s="555">
        <f>COUNTIFS(Rollup_PCA_notes!$L:$L,AUTO_NOTES!$B41,Rollup_PCA_notes!$F:$F,"X")</f>
        <v>0</v>
      </c>
      <c r="E41" s="548" t="e">
        <f t="shared" si="31"/>
        <v>#DIV/0!</v>
      </c>
      <c r="F41" s="556">
        <f>SUMIFS(Rollup_PCA_notes!$J:$J,Rollup_PCA_notes!$L:$L,AUTO_NOTES!$B41,Rollup_PCA_notes!$F:$F,"x")</f>
        <v>0</v>
      </c>
      <c r="G41" s="556">
        <f>SUMIFS(Rollup_PCA_notes!$N:$N,Rollup_PCA_notes!$L:$L,AUTO_NOTES!$B41,Rollup_PCA_notes!$F:$F,"x")</f>
        <v>0</v>
      </c>
      <c r="H41" s="868"/>
      <c r="I41" s="871"/>
      <c r="J41" s="874"/>
      <c r="K41" s="874"/>
      <c r="L41" s="871"/>
      <c r="M41" s="853"/>
      <c r="N41" s="856"/>
      <c r="O41" s="859"/>
      <c r="P41" s="859"/>
      <c r="Q41" s="862"/>
      <c r="R41" s="877"/>
      <c r="S41" s="503"/>
      <c r="T41" s="539"/>
      <c r="U41" s="503"/>
      <c r="V41" s="503"/>
      <c r="W41" s="503"/>
      <c r="X41" s="503"/>
      <c r="Y41" s="503"/>
      <c r="Z41" s="503"/>
      <c r="AA41" s="503"/>
      <c r="AB41" s="503"/>
      <c r="AC41" s="503"/>
      <c r="AD41" s="503"/>
      <c r="AE41" s="503"/>
      <c r="AF41" s="503"/>
      <c r="AG41" s="503"/>
      <c r="AH41" s="503"/>
      <c r="AI41" s="503"/>
      <c r="AJ41" s="503"/>
      <c r="AK41" s="503"/>
      <c r="AL41" s="503"/>
      <c r="AM41" s="503"/>
      <c r="AN41" s="503"/>
      <c r="AO41" s="503"/>
      <c r="AP41" s="503"/>
      <c r="AQ41" s="503"/>
      <c r="AR41" s="503"/>
      <c r="AS41" s="503"/>
      <c r="AT41" s="503"/>
      <c r="AU41" s="503"/>
      <c r="AV41" s="503"/>
      <c r="AW41" s="503"/>
      <c r="AX41" s="503"/>
      <c r="AY41" s="503"/>
      <c r="AZ41" s="503"/>
      <c r="BA41" s="503"/>
      <c r="BB41" s="503"/>
      <c r="BC41" s="503"/>
      <c r="BD41" s="503"/>
      <c r="BE41" s="503"/>
      <c r="BF41" s="503"/>
      <c r="BG41" s="503"/>
      <c r="BH41" s="503"/>
      <c r="BI41" s="503"/>
      <c r="BJ41" s="503"/>
      <c r="BK41" s="503"/>
      <c r="BL41" s="503"/>
      <c r="BM41" s="503"/>
      <c r="BN41" s="503"/>
      <c r="BO41" s="503"/>
      <c r="BP41" s="503"/>
      <c r="BQ41" s="503"/>
      <c r="BR41" s="503"/>
      <c r="BS41" s="503"/>
      <c r="BT41" s="503"/>
      <c r="BU41" s="503"/>
      <c r="BV41" s="503"/>
      <c r="BW41" s="503"/>
      <c r="BX41" s="503"/>
      <c r="BY41" s="503"/>
      <c r="BZ41" s="503"/>
      <c r="CA41" s="503"/>
      <c r="CB41" s="503"/>
      <c r="CC41" s="503"/>
      <c r="CD41" s="503"/>
      <c r="CE41" s="503"/>
    </row>
    <row r="42" spans="1:83" s="365" customFormat="1" ht="18" customHeight="1" x14ac:dyDescent="0.2">
      <c r="A42" s="503"/>
      <c r="B42" s="540" t="str">
        <f>B41</f>
        <v>Furnishing, Fixtures, Equipment</v>
      </c>
      <c r="C42" s="554" t="s">
        <v>45</v>
      </c>
      <c r="D42" s="555">
        <f>COUNTIFS(Rollup_PCA_notes!$L:$L,AUTO_NOTES!$B42,Rollup_PCA_notes!$G:$G,"X")</f>
        <v>0</v>
      </c>
      <c r="E42" s="548" t="e">
        <f t="shared" si="31"/>
        <v>#DIV/0!</v>
      </c>
      <c r="F42" s="556">
        <f>SUMIFS(Rollup_PCA_notes!$J:$J,Rollup_PCA_notes!$L:$L,AUTO_NOTES!$B42,Rollup_PCA_notes!$G:$G,"x")</f>
        <v>0</v>
      </c>
      <c r="G42" s="556">
        <f>SUMIFS(Rollup_PCA_notes!$N:$N,Rollup_PCA_notes!$L:$L,AUTO_NOTES!$B42,Rollup_PCA_notes!$G:$G,"x")</f>
        <v>0</v>
      </c>
      <c r="H42" s="868"/>
      <c r="I42" s="871"/>
      <c r="J42" s="874"/>
      <c r="K42" s="874"/>
      <c r="L42" s="871"/>
      <c r="M42" s="853"/>
      <c r="N42" s="856"/>
      <c r="O42" s="859"/>
      <c r="P42" s="859"/>
      <c r="Q42" s="862"/>
      <c r="R42" s="877"/>
      <c r="S42" s="503"/>
      <c r="T42" s="539"/>
      <c r="U42" s="503"/>
      <c r="V42" s="503"/>
      <c r="W42" s="503"/>
      <c r="X42" s="503"/>
      <c r="Y42" s="503"/>
      <c r="Z42" s="503"/>
      <c r="AA42" s="503"/>
      <c r="AB42" s="503"/>
      <c r="AC42" s="503"/>
      <c r="AD42" s="503"/>
      <c r="AE42" s="503"/>
      <c r="AF42" s="503"/>
      <c r="AG42" s="503"/>
      <c r="AH42" s="503"/>
      <c r="AI42" s="503"/>
      <c r="AJ42" s="503"/>
      <c r="AK42" s="503"/>
      <c r="AL42" s="503"/>
      <c r="AM42" s="503"/>
      <c r="AN42" s="503"/>
      <c r="AO42" s="503"/>
      <c r="AP42" s="503"/>
      <c r="AQ42" s="503"/>
      <c r="AR42" s="503"/>
      <c r="AS42" s="503"/>
      <c r="AT42" s="503"/>
      <c r="AU42" s="503"/>
      <c r="AV42" s="503"/>
      <c r="AW42" s="503"/>
      <c r="AX42" s="503"/>
      <c r="AY42" s="503"/>
      <c r="AZ42" s="503"/>
      <c r="BA42" s="503"/>
      <c r="BB42" s="503"/>
      <c r="BC42" s="503"/>
      <c r="BD42" s="503"/>
      <c r="BE42" s="503"/>
      <c r="BF42" s="503"/>
      <c r="BG42" s="503"/>
      <c r="BH42" s="503"/>
      <c r="BI42" s="503"/>
      <c r="BJ42" s="503"/>
      <c r="BK42" s="503"/>
      <c r="BL42" s="503"/>
      <c r="BM42" s="503"/>
      <c r="BN42" s="503"/>
      <c r="BO42" s="503"/>
      <c r="BP42" s="503"/>
      <c r="BQ42" s="503"/>
      <c r="BR42" s="503"/>
      <c r="BS42" s="503"/>
      <c r="BT42" s="503"/>
      <c r="BU42" s="503"/>
      <c r="BV42" s="503"/>
      <c r="BW42" s="503"/>
      <c r="BX42" s="503"/>
      <c r="BY42" s="503"/>
      <c r="BZ42" s="503"/>
      <c r="CA42" s="503"/>
      <c r="CB42" s="503"/>
      <c r="CC42" s="503"/>
      <c r="CD42" s="503"/>
      <c r="CE42" s="503"/>
    </row>
    <row r="43" spans="1:83" s="365" customFormat="1" ht="18" customHeight="1" thickBot="1" x14ac:dyDescent="0.25">
      <c r="A43" s="503"/>
      <c r="B43" s="541" t="str">
        <f>B42</f>
        <v>Furnishing, Fixtures, Equipment</v>
      </c>
      <c r="C43" s="557" t="s">
        <v>46</v>
      </c>
      <c r="D43" s="558">
        <f>COUNTIFS(Rollup_PCA_notes!$L:$L,AUTO_NOTES!$B43,Rollup_PCA_notes!$H:$H,"X")</f>
        <v>0</v>
      </c>
      <c r="E43" s="549" t="e">
        <f t="shared" si="31"/>
        <v>#DIV/0!</v>
      </c>
      <c r="F43" s="559">
        <f>SUMIFS(Rollup_PCA_notes!$J:$J,Rollup_PCA_notes!$L:$L,AUTO_NOTES!$B43,Rollup_PCA_notes!$H:$H,"x")</f>
        <v>0</v>
      </c>
      <c r="G43" s="559">
        <f>SUMIFS(Rollup_PCA_notes!$N:$N,Rollup_PCA_notes!$L:$L,AUTO_NOTES!$B43,Rollup_PCA_notes!$H:$H,"x")</f>
        <v>0</v>
      </c>
      <c r="H43" s="869"/>
      <c r="I43" s="872"/>
      <c r="J43" s="875"/>
      <c r="K43" s="875"/>
      <c r="L43" s="872"/>
      <c r="M43" s="854"/>
      <c r="N43" s="857"/>
      <c r="O43" s="860"/>
      <c r="P43" s="860"/>
      <c r="Q43" s="863"/>
      <c r="R43" s="878"/>
      <c r="S43" s="503"/>
      <c r="T43" s="539"/>
      <c r="U43" s="503"/>
      <c r="V43" s="503"/>
      <c r="W43" s="503"/>
      <c r="X43" s="503"/>
      <c r="Y43" s="503"/>
      <c r="Z43" s="503"/>
      <c r="AA43" s="503"/>
      <c r="AB43" s="503"/>
      <c r="AC43" s="503"/>
      <c r="AD43" s="503"/>
      <c r="AE43" s="503"/>
      <c r="AF43" s="503"/>
      <c r="AG43" s="503"/>
      <c r="AH43" s="503"/>
      <c r="AI43" s="503"/>
      <c r="AJ43" s="503"/>
      <c r="AK43" s="503"/>
      <c r="AL43" s="503"/>
      <c r="AM43" s="503"/>
      <c r="AN43" s="503"/>
      <c r="AO43" s="503"/>
      <c r="AP43" s="503"/>
      <c r="AQ43" s="503"/>
      <c r="AR43" s="503"/>
      <c r="AS43" s="503"/>
      <c r="AT43" s="503"/>
      <c r="AU43" s="503"/>
      <c r="AV43" s="503"/>
      <c r="AW43" s="503"/>
      <c r="AX43" s="503"/>
      <c r="AY43" s="503"/>
      <c r="AZ43" s="503"/>
      <c r="BA43" s="503"/>
      <c r="BB43" s="503"/>
      <c r="BC43" s="503"/>
      <c r="BD43" s="503"/>
      <c r="BE43" s="503"/>
      <c r="BF43" s="503"/>
      <c r="BG43" s="503"/>
      <c r="BH43" s="503"/>
      <c r="BI43" s="503"/>
      <c r="BJ43" s="503"/>
      <c r="BK43" s="503"/>
      <c r="BL43" s="503"/>
      <c r="BM43" s="503"/>
      <c r="BN43" s="503"/>
      <c r="BO43" s="503"/>
      <c r="BP43" s="503"/>
      <c r="BQ43" s="503"/>
      <c r="BR43" s="503"/>
      <c r="BS43" s="503"/>
      <c r="BT43" s="503"/>
      <c r="BU43" s="503"/>
      <c r="BV43" s="503"/>
      <c r="BW43" s="503"/>
      <c r="BX43" s="503"/>
      <c r="BY43" s="503"/>
      <c r="BZ43" s="503"/>
      <c r="CA43" s="503"/>
      <c r="CB43" s="503"/>
      <c r="CC43" s="503"/>
      <c r="CD43" s="503"/>
      <c r="CE43" s="503"/>
    </row>
    <row r="44" spans="1:83" s="365" customFormat="1" ht="18" customHeight="1" x14ac:dyDescent="0.2">
      <c r="A44" s="503"/>
      <c r="B44" s="538" t="s">
        <v>248</v>
      </c>
      <c r="C44" s="551" t="s">
        <v>41</v>
      </c>
      <c r="D44" s="552">
        <f>COUNTIFS(Rollup_PCA_notes!$L:$L,AUTO_NOTES!$B44,Rollup_PCA_notes!$C:$C,"X")</f>
        <v>0</v>
      </c>
      <c r="E44" s="547" t="e">
        <f t="shared" ref="E44:E49" si="37">D44/SUM(D$44:D$49)</f>
        <v>#DIV/0!</v>
      </c>
      <c r="F44" s="553">
        <f>SUMIFS(Rollup_PCA_notes!$J:$J,Rollup_PCA_notes!$L:$L,AUTO_NOTES!$B44,Rollup_PCA_notes!$C:$C,"x")</f>
        <v>0</v>
      </c>
      <c r="G44" s="553">
        <f>SUMIFS(Rollup_PCA_notes!$N:$N,Rollup_PCA_notes!$L:$L,AUTO_NOTES!$B44,Rollup_PCA_notes!$C:$C,"x")</f>
        <v>0</v>
      </c>
      <c r="H44" s="867">
        <f t="shared" ref="H44" si="38">IF(SUM(D47:D49)=0,0,(SUM(D47:D49)/SUM(D44:D49)))</f>
        <v>0</v>
      </c>
      <c r="I44" s="870" t="e">
        <f t="shared" ref="I44" si="39">SUM(F44:F49)/SUM(G44:G49)</f>
        <v>#DIV/0!</v>
      </c>
      <c r="J44" s="873" t="str">
        <f t="shared" ref="J44" si="40">IF(H44=0,"None",ROUNDDOWN((H44*100),0)&amp;"%")</f>
        <v>None</v>
      </c>
      <c r="K44" s="873" t="str">
        <f t="shared" ref="K44" si="41">IF(SUM(D45:D49)=0,"&lt;1%",IF(I44&lt;0.01,"&lt;1%",ROUNDDOWN((I44*100),0)&amp;"%"))</f>
        <v>&lt;1%</v>
      </c>
      <c r="L44" s="870" t="str">
        <f t="shared" ref="L44" si="42">IF(SUM(D45:D49)=0,"Green",IF(I44&gt;0.5,"Red",IF(I44&gt;0.01,"Yellow",IF(SUM(D46:D49)&gt;0,"Yellow","Green"))))</f>
        <v>Green</v>
      </c>
      <c r="M44" s="852" t="str">
        <f>IF(J44="None",$N44,$J44&amp;" "&amp;"of this system requires major renovation or replacement,"&amp;" "&amp;"including"&amp;" "&amp;$O44&amp;"  "&amp;"  "&amp;P44&amp;"  "&amp;"The cost to address identified needs is"&amp;" "&amp;$K44&amp;" "&amp;"of estimated cost to replace them, indicating"&amp;" "&amp;IF($L44="Red","need for systematic major renovations or replacements.",IF($L44="Yellow","need for significant renovations and potentially isolated replacements.",IF($L44="Green","need for regular maintenance and repairs.","error"))))</f>
        <v>None of this system requires major renovation or replacement.   The cost to address identified needs is  &lt;1% of estimated cost to replace them, indicating need for regular maintenance and repairs.</v>
      </c>
      <c r="N44" s="855" t="str">
        <f>$J44&amp;" "&amp;"of this system requires major renovation or replacement."&amp;" "&amp;" "&amp;P44&amp;" "&amp;"The cost to address identified needs is"&amp;"  "&amp;$K44&amp;" "&amp;"of estimated cost to replace them, indicating"&amp;" "&amp;IF($L44="Red","need for systematic major renovations or replacements.",IF($L44="Yellow","need for significant renovations and potentially isolated replacements.",IF($L44="Green","need for regular maintenance and repairs.","error")))</f>
        <v>None of this system requires major renovation or replacement.   The cost to address identified needs is  &lt;1% of estimated cost to replace them, indicating need for regular maintenance and repairs.</v>
      </c>
      <c r="O44" s="858" t="str" cm="1">
        <f t="array" ref="O44">_xlfn.TEXTJOIN(" ",TRUE,IF(Rollup_PCA_notes!$L:$L=AUTO_NOTES!$B44,Rollup_PCA_notes!$R:$R,""))</f>
        <v/>
      </c>
      <c r="P44" s="858" t="str" cm="1">
        <f t="array" ref="P44">_xlfn.TEXTJOIN(" ",TRUE,IF(Rollup_PCA_notes!$L:$L=AUTO_NOTES!$B44,Rollup_PCA_notes!$S:$S,""))</f>
        <v/>
      </c>
      <c r="Q44" s="861" t="str" cm="1">
        <f t="array" ref="Q44">_xlfn.TEXTJOIN(" ",TRUE,IF(Rollup_PCA_notes!$L:$L=AUTO_NOTES!$B44,Rollup_PCA_notes!$K:$K,""))</f>
        <v>0 0 0 0 0 0 0 0 0 0 0 0 0 0</v>
      </c>
      <c r="R44" s="864"/>
      <c r="S44" s="503"/>
      <c r="T44" s="539"/>
      <c r="U44" s="503"/>
      <c r="V44" s="503"/>
      <c r="W44" s="503"/>
      <c r="X44" s="503"/>
      <c r="Y44" s="503"/>
      <c r="Z44" s="503"/>
      <c r="AA44" s="503"/>
      <c r="AB44" s="503"/>
      <c r="AC44" s="503"/>
      <c r="AD44" s="503"/>
      <c r="AE44" s="503"/>
      <c r="AF44" s="503"/>
      <c r="AG44" s="503"/>
      <c r="AH44" s="503"/>
      <c r="AI44" s="503"/>
      <c r="AJ44" s="503"/>
      <c r="AK44" s="503"/>
      <c r="AL44" s="503"/>
      <c r="AM44" s="503"/>
      <c r="AN44" s="503"/>
      <c r="AO44" s="503"/>
      <c r="AP44" s="503"/>
      <c r="AQ44" s="503"/>
      <c r="AR44" s="503"/>
      <c r="AS44" s="503"/>
      <c r="AT44" s="503"/>
      <c r="AU44" s="503"/>
      <c r="AV44" s="503"/>
      <c r="AW44" s="503"/>
      <c r="AX44" s="503"/>
      <c r="AY44" s="503"/>
      <c r="AZ44" s="503"/>
      <c r="BA44" s="503"/>
      <c r="BB44" s="503"/>
      <c r="BC44" s="503"/>
      <c r="BD44" s="503"/>
      <c r="BE44" s="503"/>
      <c r="BF44" s="503"/>
      <c r="BG44" s="503"/>
      <c r="BH44" s="503"/>
      <c r="BI44" s="503"/>
      <c r="BJ44" s="503"/>
      <c r="BK44" s="503"/>
      <c r="BL44" s="503"/>
      <c r="BM44" s="503"/>
      <c r="BN44" s="503"/>
      <c r="BO44" s="503"/>
      <c r="BP44" s="503"/>
      <c r="BQ44" s="503"/>
      <c r="BR44" s="503"/>
      <c r="BS44" s="503"/>
      <c r="BT44" s="503"/>
      <c r="BU44" s="503"/>
      <c r="BV44" s="503"/>
      <c r="BW44" s="503"/>
      <c r="BX44" s="503"/>
      <c r="BY44" s="503"/>
      <c r="BZ44" s="503"/>
      <c r="CA44" s="503"/>
      <c r="CB44" s="503"/>
      <c r="CC44" s="503"/>
      <c r="CD44" s="503"/>
      <c r="CE44" s="503"/>
    </row>
    <row r="45" spans="1:83" s="365" customFormat="1" ht="18" customHeight="1" x14ac:dyDescent="0.2">
      <c r="A45" s="503"/>
      <c r="B45" s="540" t="str">
        <f>B44</f>
        <v>HVAC</v>
      </c>
      <c r="C45" s="554" t="s">
        <v>889</v>
      </c>
      <c r="D45" s="555">
        <f>COUNTIFS(Rollup_PCA_notes!$L:$L,AUTO_NOTES!$B45,Rollup_PCA_notes!$D:$D,"X")</f>
        <v>0</v>
      </c>
      <c r="E45" s="548" t="e">
        <f t="shared" si="37"/>
        <v>#DIV/0!</v>
      </c>
      <c r="F45" s="556">
        <f>SUMIFS(Rollup_PCA_notes!$J:$J,Rollup_PCA_notes!$L:$L,AUTO_NOTES!$B45,Rollup_PCA_notes!$D:$D,"x")</f>
        <v>0</v>
      </c>
      <c r="G45" s="556">
        <f>SUMIFS(Rollup_PCA_notes!$N:$N,Rollup_PCA_notes!$L:$L,AUTO_NOTES!$B45,Rollup_PCA_notes!$D:$D,"x")</f>
        <v>0</v>
      </c>
      <c r="H45" s="868"/>
      <c r="I45" s="871"/>
      <c r="J45" s="874"/>
      <c r="K45" s="874"/>
      <c r="L45" s="871"/>
      <c r="M45" s="853"/>
      <c r="N45" s="856"/>
      <c r="O45" s="859"/>
      <c r="P45" s="859"/>
      <c r="Q45" s="862"/>
      <c r="R45" s="865"/>
      <c r="S45" s="503"/>
      <c r="T45" s="539"/>
      <c r="U45" s="503"/>
      <c r="V45" s="503"/>
      <c r="W45" s="503"/>
      <c r="X45" s="503"/>
      <c r="Y45" s="503"/>
      <c r="Z45" s="503"/>
      <c r="AA45" s="503"/>
      <c r="AB45" s="503"/>
      <c r="AC45" s="503"/>
      <c r="AD45" s="503"/>
      <c r="AE45" s="503"/>
      <c r="AF45" s="503"/>
      <c r="AG45" s="503"/>
      <c r="AH45" s="503"/>
      <c r="AI45" s="503"/>
      <c r="AJ45" s="503"/>
      <c r="AK45" s="503"/>
      <c r="AL45" s="503"/>
      <c r="AM45" s="503"/>
      <c r="AN45" s="503"/>
      <c r="AO45" s="503"/>
      <c r="AP45" s="503"/>
      <c r="AQ45" s="503"/>
      <c r="AR45" s="503"/>
      <c r="AS45" s="503"/>
      <c r="AT45" s="503"/>
      <c r="AU45" s="503"/>
      <c r="AV45" s="503"/>
      <c r="AW45" s="503"/>
      <c r="AX45" s="503"/>
      <c r="AY45" s="503"/>
      <c r="AZ45" s="503"/>
      <c r="BA45" s="503"/>
      <c r="BB45" s="503"/>
      <c r="BC45" s="503"/>
      <c r="BD45" s="503"/>
      <c r="BE45" s="503"/>
      <c r="BF45" s="503"/>
      <c r="BG45" s="503"/>
      <c r="BH45" s="503"/>
      <c r="BI45" s="503"/>
      <c r="BJ45" s="503"/>
      <c r="BK45" s="503"/>
      <c r="BL45" s="503"/>
      <c r="BM45" s="503"/>
      <c r="BN45" s="503"/>
      <c r="BO45" s="503"/>
      <c r="BP45" s="503"/>
      <c r="BQ45" s="503"/>
      <c r="BR45" s="503"/>
      <c r="BS45" s="503"/>
      <c r="BT45" s="503"/>
      <c r="BU45" s="503"/>
      <c r="BV45" s="503"/>
      <c r="BW45" s="503"/>
      <c r="BX45" s="503"/>
      <c r="BY45" s="503"/>
      <c r="BZ45" s="503"/>
      <c r="CA45" s="503"/>
      <c r="CB45" s="503"/>
      <c r="CC45" s="503"/>
      <c r="CD45" s="503"/>
      <c r="CE45" s="503"/>
    </row>
    <row r="46" spans="1:83" s="365" customFormat="1" ht="18" customHeight="1" x14ac:dyDescent="0.2">
      <c r="A46" s="503"/>
      <c r="B46" s="540" t="str">
        <f>B45</f>
        <v>HVAC</v>
      </c>
      <c r="C46" s="554" t="s">
        <v>43</v>
      </c>
      <c r="D46" s="555">
        <f>COUNTIFS(Rollup_PCA_notes!$L:$L,AUTO_NOTES!$B46,Rollup_PCA_notes!$E:$E,"X")</f>
        <v>0</v>
      </c>
      <c r="E46" s="548" t="e">
        <f t="shared" si="37"/>
        <v>#DIV/0!</v>
      </c>
      <c r="F46" s="556">
        <f>SUMIFS(Rollup_PCA_notes!$J:$J,Rollup_PCA_notes!$L:$L,AUTO_NOTES!$B46,Rollup_PCA_notes!$E:$E,"x")</f>
        <v>0</v>
      </c>
      <c r="G46" s="556">
        <f>SUMIFS(Rollup_PCA_notes!$N:$N,Rollup_PCA_notes!$L:$L,AUTO_NOTES!$B46,Rollup_PCA_notes!$E:$E,"x")</f>
        <v>0</v>
      </c>
      <c r="H46" s="868"/>
      <c r="I46" s="871"/>
      <c r="J46" s="874"/>
      <c r="K46" s="874"/>
      <c r="L46" s="871"/>
      <c r="M46" s="853"/>
      <c r="N46" s="856"/>
      <c r="O46" s="859"/>
      <c r="P46" s="859"/>
      <c r="Q46" s="862"/>
      <c r="R46" s="865"/>
      <c r="S46" s="503"/>
      <c r="T46" s="539"/>
      <c r="U46" s="503"/>
      <c r="V46" s="503"/>
      <c r="W46" s="503"/>
      <c r="X46" s="503"/>
      <c r="Y46" s="503"/>
      <c r="Z46" s="503"/>
      <c r="AA46" s="503"/>
      <c r="AB46" s="503"/>
      <c r="AC46" s="503"/>
      <c r="AD46" s="503"/>
      <c r="AE46" s="503"/>
      <c r="AF46" s="503"/>
      <c r="AG46" s="503"/>
      <c r="AH46" s="503"/>
      <c r="AI46" s="503"/>
      <c r="AJ46" s="503"/>
      <c r="AK46" s="503"/>
      <c r="AL46" s="503"/>
      <c r="AM46" s="503"/>
      <c r="AN46" s="503"/>
      <c r="AO46" s="503"/>
      <c r="AP46" s="503"/>
      <c r="AQ46" s="503"/>
      <c r="AR46" s="503"/>
      <c r="AS46" s="503"/>
      <c r="AT46" s="503"/>
      <c r="AU46" s="503"/>
      <c r="AV46" s="503"/>
      <c r="AW46" s="503"/>
      <c r="AX46" s="503"/>
      <c r="AY46" s="503"/>
      <c r="AZ46" s="503"/>
      <c r="BA46" s="503"/>
      <c r="BB46" s="503"/>
      <c r="BC46" s="503"/>
      <c r="BD46" s="503"/>
      <c r="BE46" s="503"/>
      <c r="BF46" s="503"/>
      <c r="BG46" s="503"/>
      <c r="BH46" s="503"/>
      <c r="BI46" s="503"/>
      <c r="BJ46" s="503"/>
      <c r="BK46" s="503"/>
      <c r="BL46" s="503"/>
      <c r="BM46" s="503"/>
      <c r="BN46" s="503"/>
      <c r="BO46" s="503"/>
      <c r="BP46" s="503"/>
      <c r="BQ46" s="503"/>
      <c r="BR46" s="503"/>
      <c r="BS46" s="503"/>
      <c r="BT46" s="503"/>
      <c r="BU46" s="503"/>
      <c r="BV46" s="503"/>
      <c r="BW46" s="503"/>
      <c r="BX46" s="503"/>
      <c r="BY46" s="503"/>
      <c r="BZ46" s="503"/>
      <c r="CA46" s="503"/>
      <c r="CB46" s="503"/>
      <c r="CC46" s="503"/>
      <c r="CD46" s="503"/>
      <c r="CE46" s="503"/>
    </row>
    <row r="47" spans="1:83" s="365" customFormat="1" ht="18" customHeight="1" x14ac:dyDescent="0.2">
      <c r="A47" s="503"/>
      <c r="B47" s="540" t="str">
        <f>B46</f>
        <v>HVAC</v>
      </c>
      <c r="C47" s="554" t="s">
        <v>890</v>
      </c>
      <c r="D47" s="555">
        <f>COUNTIFS(Rollup_PCA_notes!$L:$L,AUTO_NOTES!$B47,Rollup_PCA_notes!$F:$F,"X")</f>
        <v>0</v>
      </c>
      <c r="E47" s="548" t="e">
        <f t="shared" si="37"/>
        <v>#DIV/0!</v>
      </c>
      <c r="F47" s="556">
        <f>SUMIFS(Rollup_PCA_notes!$J:$J,Rollup_PCA_notes!$L:$L,AUTO_NOTES!$B47,Rollup_PCA_notes!$F:$F,"x")</f>
        <v>0</v>
      </c>
      <c r="G47" s="556">
        <f>SUMIFS(Rollup_PCA_notes!$N:$N,Rollup_PCA_notes!$L:$L,AUTO_NOTES!$B47,Rollup_PCA_notes!$F:$F,"x")</f>
        <v>0</v>
      </c>
      <c r="H47" s="868"/>
      <c r="I47" s="871"/>
      <c r="J47" s="874"/>
      <c r="K47" s="874"/>
      <c r="L47" s="871"/>
      <c r="M47" s="853"/>
      <c r="N47" s="856"/>
      <c r="O47" s="859"/>
      <c r="P47" s="859"/>
      <c r="Q47" s="862"/>
      <c r="R47" s="865"/>
      <c r="S47" s="503"/>
      <c r="T47" s="539"/>
      <c r="U47" s="503"/>
      <c r="V47" s="503"/>
      <c r="W47" s="503"/>
      <c r="X47" s="503"/>
      <c r="Y47" s="503"/>
      <c r="Z47" s="503"/>
      <c r="AA47" s="503"/>
      <c r="AB47" s="503"/>
      <c r="AC47" s="503"/>
      <c r="AD47" s="503"/>
      <c r="AE47" s="503"/>
      <c r="AF47" s="503"/>
      <c r="AG47" s="503"/>
      <c r="AH47" s="503"/>
      <c r="AI47" s="503"/>
      <c r="AJ47" s="503"/>
      <c r="AK47" s="503"/>
      <c r="AL47" s="503"/>
      <c r="AM47" s="503"/>
      <c r="AN47" s="503"/>
      <c r="AO47" s="503"/>
      <c r="AP47" s="503"/>
      <c r="AQ47" s="503"/>
      <c r="AR47" s="503"/>
      <c r="AS47" s="503"/>
      <c r="AT47" s="503"/>
      <c r="AU47" s="503"/>
      <c r="AV47" s="503"/>
      <c r="AW47" s="503"/>
      <c r="AX47" s="503"/>
      <c r="AY47" s="503"/>
      <c r="AZ47" s="503"/>
      <c r="BA47" s="503"/>
      <c r="BB47" s="503"/>
      <c r="BC47" s="503"/>
      <c r="BD47" s="503"/>
      <c r="BE47" s="503"/>
      <c r="BF47" s="503"/>
      <c r="BG47" s="503"/>
      <c r="BH47" s="503"/>
      <c r="BI47" s="503"/>
      <c r="BJ47" s="503"/>
      <c r="BK47" s="503"/>
      <c r="BL47" s="503"/>
      <c r="BM47" s="503"/>
      <c r="BN47" s="503"/>
      <c r="BO47" s="503"/>
      <c r="BP47" s="503"/>
      <c r="BQ47" s="503"/>
      <c r="BR47" s="503"/>
      <c r="BS47" s="503"/>
      <c r="BT47" s="503"/>
      <c r="BU47" s="503"/>
      <c r="BV47" s="503"/>
      <c r="BW47" s="503"/>
      <c r="BX47" s="503"/>
      <c r="BY47" s="503"/>
      <c r="BZ47" s="503"/>
      <c r="CA47" s="503"/>
      <c r="CB47" s="503"/>
      <c r="CC47" s="503"/>
      <c r="CD47" s="503"/>
      <c r="CE47" s="503"/>
    </row>
    <row r="48" spans="1:83" s="365" customFormat="1" ht="18" customHeight="1" x14ac:dyDescent="0.2">
      <c r="A48" s="503"/>
      <c r="B48" s="540" t="str">
        <f>B47</f>
        <v>HVAC</v>
      </c>
      <c r="C48" s="554" t="s">
        <v>45</v>
      </c>
      <c r="D48" s="555">
        <f>COUNTIFS(Rollup_PCA_notes!$L:$L,AUTO_NOTES!$B48,Rollup_PCA_notes!$G:$G,"X")</f>
        <v>0</v>
      </c>
      <c r="E48" s="548" t="e">
        <f t="shared" si="37"/>
        <v>#DIV/0!</v>
      </c>
      <c r="F48" s="556">
        <f>SUMIFS(Rollup_PCA_notes!$J:$J,Rollup_PCA_notes!$L:$L,AUTO_NOTES!$B48,Rollup_PCA_notes!$G:$G,"x")</f>
        <v>0</v>
      </c>
      <c r="G48" s="556">
        <f>SUMIFS(Rollup_PCA_notes!$N:$N,Rollup_PCA_notes!$L:$L,AUTO_NOTES!$B48,Rollup_PCA_notes!$G:$G,"x")</f>
        <v>0</v>
      </c>
      <c r="H48" s="868"/>
      <c r="I48" s="871"/>
      <c r="J48" s="874"/>
      <c r="K48" s="874"/>
      <c r="L48" s="871"/>
      <c r="M48" s="853"/>
      <c r="N48" s="856"/>
      <c r="O48" s="859"/>
      <c r="P48" s="859"/>
      <c r="Q48" s="862"/>
      <c r="R48" s="865"/>
      <c r="S48" s="503"/>
      <c r="T48" s="539"/>
      <c r="U48" s="503"/>
      <c r="V48" s="503"/>
      <c r="W48" s="503"/>
      <c r="X48" s="503"/>
      <c r="Y48" s="503"/>
      <c r="Z48" s="503"/>
      <c r="AA48" s="503"/>
      <c r="AB48" s="503"/>
      <c r="AC48" s="503"/>
      <c r="AD48" s="503"/>
      <c r="AE48" s="503"/>
      <c r="AF48" s="503"/>
      <c r="AG48" s="503"/>
      <c r="AH48" s="503"/>
      <c r="AI48" s="503"/>
      <c r="AJ48" s="503"/>
      <c r="AK48" s="503"/>
      <c r="AL48" s="503"/>
      <c r="AM48" s="503"/>
      <c r="AN48" s="503"/>
      <c r="AO48" s="503"/>
      <c r="AP48" s="503"/>
      <c r="AQ48" s="503"/>
      <c r="AR48" s="503"/>
      <c r="AS48" s="503"/>
      <c r="AT48" s="503"/>
      <c r="AU48" s="503"/>
      <c r="AV48" s="503"/>
      <c r="AW48" s="503"/>
      <c r="AX48" s="503"/>
      <c r="AY48" s="503"/>
      <c r="AZ48" s="503"/>
      <c r="BA48" s="503"/>
      <c r="BB48" s="503"/>
      <c r="BC48" s="503"/>
      <c r="BD48" s="503"/>
      <c r="BE48" s="503"/>
      <c r="BF48" s="503"/>
      <c r="BG48" s="503"/>
      <c r="BH48" s="503"/>
      <c r="BI48" s="503"/>
      <c r="BJ48" s="503"/>
      <c r="BK48" s="503"/>
      <c r="BL48" s="503"/>
      <c r="BM48" s="503"/>
      <c r="BN48" s="503"/>
      <c r="BO48" s="503"/>
      <c r="BP48" s="503"/>
      <c r="BQ48" s="503"/>
      <c r="BR48" s="503"/>
      <c r="BS48" s="503"/>
      <c r="BT48" s="503"/>
      <c r="BU48" s="503"/>
      <c r="BV48" s="503"/>
      <c r="BW48" s="503"/>
      <c r="BX48" s="503"/>
      <c r="BY48" s="503"/>
      <c r="BZ48" s="503"/>
      <c r="CA48" s="503"/>
      <c r="CB48" s="503"/>
      <c r="CC48" s="503"/>
      <c r="CD48" s="503"/>
      <c r="CE48" s="503"/>
    </row>
    <row r="49" spans="1:83" s="365" customFormat="1" ht="18" customHeight="1" thickBot="1" x14ac:dyDescent="0.25">
      <c r="A49" s="503"/>
      <c r="B49" s="541" t="str">
        <f>B48</f>
        <v>HVAC</v>
      </c>
      <c r="C49" s="557" t="s">
        <v>46</v>
      </c>
      <c r="D49" s="558">
        <f>COUNTIFS(Rollup_PCA_notes!$L:$L,AUTO_NOTES!$B49,Rollup_PCA_notes!$H:$H,"X")</f>
        <v>0</v>
      </c>
      <c r="E49" s="549" t="e">
        <f t="shared" si="37"/>
        <v>#DIV/0!</v>
      </c>
      <c r="F49" s="559">
        <f>SUMIFS(Rollup_PCA_notes!$J:$J,Rollup_PCA_notes!$L:$L,AUTO_NOTES!$B49,Rollup_PCA_notes!$H:$H,"x")</f>
        <v>0</v>
      </c>
      <c r="G49" s="559">
        <f>SUMIFS(Rollup_PCA_notes!$N:$N,Rollup_PCA_notes!$L:$L,AUTO_NOTES!$B49,Rollup_PCA_notes!$H:$H,"x")</f>
        <v>0</v>
      </c>
      <c r="H49" s="869"/>
      <c r="I49" s="872"/>
      <c r="J49" s="875"/>
      <c r="K49" s="875"/>
      <c r="L49" s="872"/>
      <c r="M49" s="854"/>
      <c r="N49" s="857"/>
      <c r="O49" s="860"/>
      <c r="P49" s="860"/>
      <c r="Q49" s="863"/>
      <c r="R49" s="866"/>
      <c r="S49" s="503"/>
      <c r="T49" s="539"/>
      <c r="U49" s="503"/>
      <c r="V49" s="503"/>
      <c r="W49" s="503"/>
      <c r="X49" s="503"/>
      <c r="Y49" s="503"/>
      <c r="Z49" s="503"/>
      <c r="AA49" s="503"/>
      <c r="AB49" s="503"/>
      <c r="AC49" s="503"/>
      <c r="AD49" s="503"/>
      <c r="AE49" s="503"/>
      <c r="AF49" s="503"/>
      <c r="AG49" s="503"/>
      <c r="AH49" s="503"/>
      <c r="AI49" s="503"/>
      <c r="AJ49" s="503"/>
      <c r="AK49" s="503"/>
      <c r="AL49" s="503"/>
      <c r="AM49" s="503"/>
      <c r="AN49" s="503"/>
      <c r="AO49" s="503"/>
      <c r="AP49" s="503"/>
      <c r="AQ49" s="503"/>
      <c r="AR49" s="503"/>
      <c r="AS49" s="503"/>
      <c r="AT49" s="503"/>
      <c r="AU49" s="503"/>
      <c r="AV49" s="503"/>
      <c r="AW49" s="503"/>
      <c r="AX49" s="503"/>
      <c r="AY49" s="503"/>
      <c r="AZ49" s="503"/>
      <c r="BA49" s="503"/>
      <c r="BB49" s="503"/>
      <c r="BC49" s="503"/>
      <c r="BD49" s="503"/>
      <c r="BE49" s="503"/>
      <c r="BF49" s="503"/>
      <c r="BG49" s="503"/>
      <c r="BH49" s="503"/>
      <c r="BI49" s="503"/>
      <c r="BJ49" s="503"/>
      <c r="BK49" s="503"/>
      <c r="BL49" s="503"/>
      <c r="BM49" s="503"/>
      <c r="BN49" s="503"/>
      <c r="BO49" s="503"/>
      <c r="BP49" s="503"/>
      <c r="BQ49" s="503"/>
      <c r="BR49" s="503"/>
      <c r="BS49" s="503"/>
      <c r="BT49" s="503"/>
      <c r="BU49" s="503"/>
      <c r="BV49" s="503"/>
      <c r="BW49" s="503"/>
      <c r="BX49" s="503"/>
      <c r="BY49" s="503"/>
      <c r="BZ49" s="503"/>
      <c r="CA49" s="503"/>
      <c r="CB49" s="503"/>
      <c r="CC49" s="503"/>
      <c r="CD49" s="503"/>
      <c r="CE49" s="503"/>
    </row>
    <row r="50" spans="1:83" s="365" customFormat="1" ht="18" customHeight="1" x14ac:dyDescent="0.2">
      <c r="A50" s="503"/>
      <c r="B50" s="538" t="s">
        <v>85</v>
      </c>
      <c r="C50" s="551" t="s">
        <v>41</v>
      </c>
      <c r="D50" s="552">
        <f>COUNTIFS(Rollup_PCA_notes!$L:$L,AUTO_NOTES!$B50,Rollup_PCA_notes!$C:$C,"X")</f>
        <v>0</v>
      </c>
      <c r="E50" s="547" t="e">
        <f t="shared" ref="E50:E55" si="43">D50/SUM(D$50:D$55)</f>
        <v>#DIV/0!</v>
      </c>
      <c r="F50" s="553">
        <f>SUMIFS(Rollup_PCA_notes!$J:$J,Rollup_PCA_notes!$L:$L,AUTO_NOTES!$B50,Rollup_PCA_notes!$C:$C,"x")</f>
        <v>0</v>
      </c>
      <c r="G50" s="553">
        <f>SUMIFS(Rollup_PCA_notes!$N:$N,Rollup_PCA_notes!$L:$L,AUTO_NOTES!$B50,Rollup_PCA_notes!$C:$C,"x")</f>
        <v>0</v>
      </c>
      <c r="H50" s="867">
        <f t="shared" ref="H50" si="44">IF(SUM(D53:D55)=0,0,(SUM(D53:D55)/SUM(D50:D55)))</f>
        <v>0</v>
      </c>
      <c r="I50" s="870" t="e">
        <f t="shared" ref="I50" si="45">SUM(F50:F55)/SUM(G50:G55)</f>
        <v>#DIV/0!</v>
      </c>
      <c r="J50" s="873" t="str">
        <f t="shared" ref="J50" si="46">IF(H50=0,"None",ROUNDDOWN((H50*100),0)&amp;"%")</f>
        <v>None</v>
      </c>
      <c r="K50" s="873" t="str">
        <f t="shared" ref="K50" si="47">IF(SUM(D51:D55)=0,"&lt;1%",IF(I50&lt;0.01,"&lt;1%",ROUNDDOWN((I50*100),0)&amp;"%"))</f>
        <v>&lt;1%</v>
      </c>
      <c r="L50" s="870" t="str">
        <f t="shared" ref="L50" si="48">IF(SUM(D51:D55)=0,"Green",IF(I50&gt;0.5,"Red",IF(I50&gt;0.01,"Yellow",IF(SUM(D52:D55)&gt;0,"Yellow","Green"))))</f>
        <v>Green</v>
      </c>
      <c r="M50" s="852" t="str">
        <f>IF(J50="None",$N50,$J50&amp;" "&amp;"of this system requires major renovation or replacement,"&amp;" "&amp;"including"&amp;" "&amp;$O50&amp;"  "&amp;"  "&amp;P50&amp;"  "&amp;"The cost to address identified needs is"&amp;" "&amp;$K50&amp;" "&amp;"of estimated cost to replace them, indicating"&amp;" "&amp;IF($L50="Red","need for systematic major renovations or replacements.",IF($L50="Yellow","need for significant renovations and potentially isolated replacements.",IF($L50="Green","need for regular maintenance and repairs.","error"))))</f>
        <v>None of this system requires major renovation or replacement.   The cost to address identified needs is  &lt;1% of estimated cost to replace them, indicating need for regular maintenance and repairs.</v>
      </c>
      <c r="N50" s="855" t="str">
        <f>$J50&amp;" "&amp;"of this system requires major renovation or replacement."&amp;" "&amp;" "&amp;P50&amp;" "&amp;"The cost to address identified needs is"&amp;"  "&amp;$K50&amp;" "&amp;"of estimated cost to replace them, indicating"&amp;" "&amp;IF($L50="Red","need for systematic major renovations or replacements.",IF($L50="Yellow","need for significant renovations and potentially isolated replacements.",IF($L50="Green","need for regular maintenance and repairs.","error")))</f>
        <v>None of this system requires major renovation or replacement.   The cost to address identified needs is  &lt;1% of estimated cost to replace them, indicating need for regular maintenance and repairs.</v>
      </c>
      <c r="O50" s="858" t="str" cm="1">
        <f t="array" ref="O50">_xlfn.TEXTJOIN(" ",TRUE,IF(Rollup_PCA_notes!$L:$L=AUTO_NOTES!$B50,Rollup_PCA_notes!$R:$R,""))</f>
        <v/>
      </c>
      <c r="P50" s="858" t="str" cm="1">
        <f t="array" ref="P50">_xlfn.TEXTJOIN(" ",TRUE,IF(Rollup_PCA_notes!$L:$L=AUTO_NOTES!$B50,Rollup_PCA_notes!$S:$S,""))</f>
        <v/>
      </c>
      <c r="Q50" s="861" t="str" cm="1">
        <f t="array" ref="Q50">_xlfn.TEXTJOIN(" ",TRUE,IF(Rollup_PCA_notes!$L:$L=AUTO_NOTES!$B50,Rollup_PCA_notes!$K:$K,""))</f>
        <v>0 0 0 0 0 0 0 0 0 0 0 0 0 0 0 0 0 0 0 0 0 0 0 0 0 0 0 0</v>
      </c>
      <c r="R50" s="864"/>
      <c r="S50" s="503"/>
      <c r="T50" s="539"/>
      <c r="U50" s="503"/>
      <c r="V50" s="503"/>
      <c r="W50" s="503"/>
      <c r="X50" s="503"/>
      <c r="Y50" s="503"/>
      <c r="Z50" s="503"/>
      <c r="AA50" s="503"/>
      <c r="AB50" s="503"/>
      <c r="AC50" s="503"/>
      <c r="AD50" s="503"/>
      <c r="AE50" s="503"/>
      <c r="AF50" s="503"/>
      <c r="AG50" s="503"/>
      <c r="AH50" s="503"/>
      <c r="AI50" s="503"/>
      <c r="AJ50" s="503"/>
      <c r="AK50" s="503"/>
      <c r="AL50" s="503"/>
      <c r="AM50" s="503"/>
      <c r="AN50" s="503"/>
      <c r="AO50" s="503"/>
      <c r="AP50" s="503"/>
      <c r="AQ50" s="503"/>
      <c r="AR50" s="503"/>
      <c r="AS50" s="503"/>
      <c r="AT50" s="503"/>
      <c r="AU50" s="503"/>
      <c r="AV50" s="503"/>
      <c r="AW50" s="503"/>
      <c r="AX50" s="503"/>
      <c r="AY50" s="503"/>
      <c r="AZ50" s="503"/>
      <c r="BA50" s="503"/>
      <c r="BB50" s="503"/>
      <c r="BC50" s="503"/>
      <c r="BD50" s="503"/>
      <c r="BE50" s="503"/>
      <c r="BF50" s="503"/>
      <c r="BG50" s="503"/>
      <c r="BH50" s="503"/>
      <c r="BI50" s="503"/>
      <c r="BJ50" s="503"/>
      <c r="BK50" s="503"/>
      <c r="BL50" s="503"/>
      <c r="BM50" s="503"/>
      <c r="BN50" s="503"/>
      <c r="BO50" s="503"/>
      <c r="BP50" s="503"/>
      <c r="BQ50" s="503"/>
      <c r="BR50" s="503"/>
      <c r="BS50" s="503"/>
      <c r="BT50" s="503"/>
      <c r="BU50" s="503"/>
      <c r="BV50" s="503"/>
      <c r="BW50" s="503"/>
      <c r="BX50" s="503"/>
      <c r="BY50" s="503"/>
      <c r="BZ50" s="503"/>
      <c r="CA50" s="503"/>
      <c r="CB50" s="503"/>
      <c r="CC50" s="503"/>
      <c r="CD50" s="503"/>
      <c r="CE50" s="503"/>
    </row>
    <row r="51" spans="1:83" s="365" customFormat="1" ht="18" customHeight="1" x14ac:dyDescent="0.2">
      <c r="A51" s="503"/>
      <c r="B51" s="540" t="str">
        <f>B50</f>
        <v>Interior Structure</v>
      </c>
      <c r="C51" s="554" t="s">
        <v>889</v>
      </c>
      <c r="D51" s="555">
        <f>COUNTIFS(Rollup_PCA_notes!$L:$L,AUTO_NOTES!$B51,Rollup_PCA_notes!$D:$D,"X")</f>
        <v>0</v>
      </c>
      <c r="E51" s="548" t="e">
        <f t="shared" si="43"/>
        <v>#DIV/0!</v>
      </c>
      <c r="F51" s="556">
        <f>SUMIFS(Rollup_PCA_notes!$J:$J,Rollup_PCA_notes!$L:$L,AUTO_NOTES!$B51,Rollup_PCA_notes!$D:$D,"x")</f>
        <v>0</v>
      </c>
      <c r="G51" s="556">
        <f>SUMIFS(Rollup_PCA_notes!$N:$N,Rollup_PCA_notes!$L:$L,AUTO_NOTES!$B51,Rollup_PCA_notes!$D:$D,"x")</f>
        <v>0</v>
      </c>
      <c r="H51" s="868"/>
      <c r="I51" s="871"/>
      <c r="J51" s="874"/>
      <c r="K51" s="874"/>
      <c r="L51" s="871"/>
      <c r="M51" s="853"/>
      <c r="N51" s="856"/>
      <c r="O51" s="859"/>
      <c r="P51" s="859"/>
      <c r="Q51" s="862"/>
      <c r="R51" s="865"/>
      <c r="S51" s="503"/>
      <c r="T51" s="539"/>
      <c r="U51" s="503"/>
      <c r="V51" s="503"/>
      <c r="W51" s="503"/>
      <c r="X51" s="503"/>
      <c r="Y51" s="503"/>
      <c r="Z51" s="503"/>
      <c r="AA51" s="503"/>
      <c r="AB51" s="503"/>
      <c r="AC51" s="503"/>
      <c r="AD51" s="503"/>
      <c r="AE51" s="503"/>
      <c r="AF51" s="503"/>
      <c r="AG51" s="503"/>
      <c r="AH51" s="503"/>
      <c r="AI51" s="503"/>
      <c r="AJ51" s="503"/>
      <c r="AK51" s="503"/>
      <c r="AL51" s="503"/>
      <c r="AM51" s="503"/>
      <c r="AN51" s="503"/>
      <c r="AO51" s="503"/>
      <c r="AP51" s="503"/>
      <c r="AQ51" s="503"/>
      <c r="AR51" s="503"/>
      <c r="AS51" s="503"/>
      <c r="AT51" s="503"/>
      <c r="AU51" s="503"/>
      <c r="AV51" s="503"/>
      <c r="AW51" s="503"/>
      <c r="AX51" s="503"/>
      <c r="AY51" s="503"/>
      <c r="AZ51" s="503"/>
      <c r="BA51" s="503"/>
      <c r="BB51" s="503"/>
      <c r="BC51" s="503"/>
      <c r="BD51" s="503"/>
      <c r="BE51" s="503"/>
      <c r="BF51" s="503"/>
      <c r="BG51" s="503"/>
      <c r="BH51" s="503"/>
      <c r="BI51" s="503"/>
      <c r="BJ51" s="503"/>
      <c r="BK51" s="503"/>
      <c r="BL51" s="503"/>
      <c r="BM51" s="503"/>
      <c r="BN51" s="503"/>
      <c r="BO51" s="503"/>
      <c r="BP51" s="503"/>
      <c r="BQ51" s="503"/>
      <c r="BR51" s="503"/>
      <c r="BS51" s="503"/>
      <c r="BT51" s="503"/>
      <c r="BU51" s="503"/>
      <c r="BV51" s="503"/>
      <c r="BW51" s="503"/>
      <c r="BX51" s="503"/>
      <c r="BY51" s="503"/>
      <c r="BZ51" s="503"/>
      <c r="CA51" s="503"/>
      <c r="CB51" s="503"/>
      <c r="CC51" s="503"/>
      <c r="CD51" s="503"/>
      <c r="CE51" s="503"/>
    </row>
    <row r="52" spans="1:83" s="365" customFormat="1" ht="18" customHeight="1" x14ac:dyDescent="0.2">
      <c r="A52" s="503"/>
      <c r="B52" s="540" t="str">
        <f>B51</f>
        <v>Interior Structure</v>
      </c>
      <c r="C52" s="554" t="s">
        <v>43</v>
      </c>
      <c r="D52" s="555">
        <f>COUNTIFS(Rollup_PCA_notes!$L:$L,AUTO_NOTES!$B52,Rollup_PCA_notes!$E:$E,"X")</f>
        <v>0</v>
      </c>
      <c r="E52" s="548" t="e">
        <f t="shared" si="43"/>
        <v>#DIV/0!</v>
      </c>
      <c r="F52" s="556">
        <f>SUMIFS(Rollup_PCA_notes!$J:$J,Rollup_PCA_notes!$L:$L,AUTO_NOTES!$B52,Rollup_PCA_notes!$E:$E,"x")</f>
        <v>0</v>
      </c>
      <c r="G52" s="556">
        <f>SUMIFS(Rollup_PCA_notes!$N:$N,Rollup_PCA_notes!$L:$L,AUTO_NOTES!$B52,Rollup_PCA_notes!$E:$E,"x")</f>
        <v>0</v>
      </c>
      <c r="H52" s="868"/>
      <c r="I52" s="871"/>
      <c r="J52" s="874"/>
      <c r="K52" s="874"/>
      <c r="L52" s="871"/>
      <c r="M52" s="853"/>
      <c r="N52" s="856"/>
      <c r="O52" s="859"/>
      <c r="P52" s="859"/>
      <c r="Q52" s="862"/>
      <c r="R52" s="865"/>
      <c r="S52" s="503"/>
      <c r="T52" s="539"/>
      <c r="U52" s="503"/>
      <c r="V52" s="503"/>
      <c r="W52" s="503"/>
      <c r="X52" s="503"/>
      <c r="Y52" s="503"/>
      <c r="Z52" s="503"/>
      <c r="AA52" s="503"/>
      <c r="AB52" s="503"/>
      <c r="AC52" s="503"/>
      <c r="AD52" s="503"/>
      <c r="AE52" s="503"/>
      <c r="AF52" s="503"/>
      <c r="AG52" s="503"/>
      <c r="AH52" s="503"/>
      <c r="AI52" s="503"/>
      <c r="AJ52" s="503"/>
      <c r="AK52" s="503"/>
      <c r="AL52" s="503"/>
      <c r="AM52" s="503"/>
      <c r="AN52" s="503"/>
      <c r="AO52" s="503"/>
      <c r="AP52" s="503"/>
      <c r="AQ52" s="503"/>
      <c r="AR52" s="503"/>
      <c r="AS52" s="503"/>
      <c r="AT52" s="503"/>
      <c r="AU52" s="503"/>
      <c r="AV52" s="503"/>
      <c r="AW52" s="503"/>
      <c r="AX52" s="503"/>
      <c r="AY52" s="503"/>
      <c r="AZ52" s="503"/>
      <c r="BA52" s="503"/>
      <c r="BB52" s="503"/>
      <c r="BC52" s="503"/>
      <c r="BD52" s="503"/>
      <c r="BE52" s="503"/>
      <c r="BF52" s="503"/>
      <c r="BG52" s="503"/>
      <c r="BH52" s="503"/>
      <c r="BI52" s="503"/>
      <c r="BJ52" s="503"/>
      <c r="BK52" s="503"/>
      <c r="BL52" s="503"/>
      <c r="BM52" s="503"/>
      <c r="BN52" s="503"/>
      <c r="BO52" s="503"/>
      <c r="BP52" s="503"/>
      <c r="BQ52" s="503"/>
      <c r="BR52" s="503"/>
      <c r="BS52" s="503"/>
      <c r="BT52" s="503"/>
      <c r="BU52" s="503"/>
      <c r="BV52" s="503"/>
      <c r="BW52" s="503"/>
      <c r="BX52" s="503"/>
      <c r="BY52" s="503"/>
      <c r="BZ52" s="503"/>
      <c r="CA52" s="503"/>
      <c r="CB52" s="503"/>
      <c r="CC52" s="503"/>
      <c r="CD52" s="503"/>
      <c r="CE52" s="503"/>
    </row>
    <row r="53" spans="1:83" s="365" customFormat="1" ht="18" customHeight="1" x14ac:dyDescent="0.2">
      <c r="A53" s="503"/>
      <c r="B53" s="540" t="str">
        <f>B52</f>
        <v>Interior Structure</v>
      </c>
      <c r="C53" s="554" t="s">
        <v>890</v>
      </c>
      <c r="D53" s="555">
        <f>COUNTIFS(Rollup_PCA_notes!$L:$L,AUTO_NOTES!$B53,Rollup_PCA_notes!$F:$F,"X")</f>
        <v>0</v>
      </c>
      <c r="E53" s="548" t="e">
        <f t="shared" si="43"/>
        <v>#DIV/0!</v>
      </c>
      <c r="F53" s="556">
        <f>SUMIFS(Rollup_PCA_notes!$J:$J,Rollup_PCA_notes!$L:$L,AUTO_NOTES!$B53,Rollup_PCA_notes!$F:$F,"x")</f>
        <v>0</v>
      </c>
      <c r="G53" s="556">
        <f>SUMIFS(Rollup_PCA_notes!$N:$N,Rollup_PCA_notes!$L:$L,AUTO_NOTES!$B53,Rollup_PCA_notes!$F:$F,"x")</f>
        <v>0</v>
      </c>
      <c r="H53" s="868"/>
      <c r="I53" s="871"/>
      <c r="J53" s="874"/>
      <c r="K53" s="874"/>
      <c r="L53" s="871"/>
      <c r="M53" s="853"/>
      <c r="N53" s="856"/>
      <c r="O53" s="859"/>
      <c r="P53" s="859"/>
      <c r="Q53" s="862"/>
      <c r="R53" s="865"/>
      <c r="S53" s="503"/>
      <c r="T53" s="539"/>
      <c r="U53" s="503"/>
      <c r="V53" s="503"/>
      <c r="W53" s="503"/>
      <c r="X53" s="503"/>
      <c r="Y53" s="503"/>
      <c r="Z53" s="503"/>
      <c r="AA53" s="503"/>
      <c r="AB53" s="503"/>
      <c r="AC53" s="503"/>
      <c r="AD53" s="503"/>
      <c r="AE53" s="503"/>
      <c r="AF53" s="503"/>
      <c r="AG53" s="503"/>
      <c r="AH53" s="503"/>
      <c r="AI53" s="503"/>
      <c r="AJ53" s="503"/>
      <c r="AK53" s="503"/>
      <c r="AL53" s="503"/>
      <c r="AM53" s="503"/>
      <c r="AN53" s="503"/>
      <c r="AO53" s="503"/>
      <c r="AP53" s="503"/>
      <c r="AQ53" s="503"/>
      <c r="AR53" s="503"/>
      <c r="AS53" s="503"/>
      <c r="AT53" s="503"/>
      <c r="AU53" s="503"/>
      <c r="AV53" s="503"/>
      <c r="AW53" s="503"/>
      <c r="AX53" s="503"/>
      <c r="AY53" s="503"/>
      <c r="AZ53" s="503"/>
      <c r="BA53" s="503"/>
      <c r="BB53" s="503"/>
      <c r="BC53" s="503"/>
      <c r="BD53" s="503"/>
      <c r="BE53" s="503"/>
      <c r="BF53" s="503"/>
      <c r="BG53" s="503"/>
      <c r="BH53" s="503"/>
      <c r="BI53" s="503"/>
      <c r="BJ53" s="503"/>
      <c r="BK53" s="503"/>
      <c r="BL53" s="503"/>
      <c r="BM53" s="503"/>
      <c r="BN53" s="503"/>
      <c r="BO53" s="503"/>
      <c r="BP53" s="503"/>
      <c r="BQ53" s="503"/>
      <c r="BR53" s="503"/>
      <c r="BS53" s="503"/>
      <c r="BT53" s="503"/>
      <c r="BU53" s="503"/>
      <c r="BV53" s="503"/>
      <c r="BW53" s="503"/>
      <c r="BX53" s="503"/>
      <c r="BY53" s="503"/>
      <c r="BZ53" s="503"/>
      <c r="CA53" s="503"/>
      <c r="CB53" s="503"/>
      <c r="CC53" s="503"/>
      <c r="CD53" s="503"/>
      <c r="CE53" s="503"/>
    </row>
    <row r="54" spans="1:83" s="365" customFormat="1" ht="18" customHeight="1" x14ac:dyDescent="0.2">
      <c r="A54" s="503"/>
      <c r="B54" s="540" t="str">
        <f>B53</f>
        <v>Interior Structure</v>
      </c>
      <c r="C54" s="554" t="s">
        <v>45</v>
      </c>
      <c r="D54" s="555">
        <f>COUNTIFS(Rollup_PCA_notes!$L:$L,AUTO_NOTES!$B54,Rollup_PCA_notes!$G:$G,"X")</f>
        <v>0</v>
      </c>
      <c r="E54" s="548" t="e">
        <f t="shared" si="43"/>
        <v>#DIV/0!</v>
      </c>
      <c r="F54" s="556">
        <f>SUMIFS(Rollup_PCA_notes!$J:$J,Rollup_PCA_notes!$L:$L,AUTO_NOTES!$B54,Rollup_PCA_notes!$G:$G,"x")</f>
        <v>0</v>
      </c>
      <c r="G54" s="556">
        <f>SUMIFS(Rollup_PCA_notes!$N:$N,Rollup_PCA_notes!$L:$L,AUTO_NOTES!$B54,Rollup_PCA_notes!$G:$G,"x")</f>
        <v>0</v>
      </c>
      <c r="H54" s="868"/>
      <c r="I54" s="871"/>
      <c r="J54" s="874"/>
      <c r="K54" s="874"/>
      <c r="L54" s="871"/>
      <c r="M54" s="853"/>
      <c r="N54" s="856"/>
      <c r="O54" s="859"/>
      <c r="P54" s="859"/>
      <c r="Q54" s="862"/>
      <c r="R54" s="865"/>
      <c r="S54" s="503"/>
      <c r="T54" s="539"/>
      <c r="U54" s="503"/>
      <c r="V54" s="503"/>
      <c r="W54" s="503"/>
      <c r="X54" s="503"/>
      <c r="Y54" s="503"/>
      <c r="Z54" s="503"/>
      <c r="AA54" s="503"/>
      <c r="AB54" s="503"/>
      <c r="AC54" s="503"/>
      <c r="AD54" s="503"/>
      <c r="AE54" s="503"/>
      <c r="AF54" s="503"/>
      <c r="AG54" s="503"/>
      <c r="AH54" s="503"/>
      <c r="AI54" s="503"/>
      <c r="AJ54" s="503"/>
      <c r="AK54" s="503"/>
      <c r="AL54" s="503"/>
      <c r="AM54" s="503"/>
      <c r="AN54" s="503"/>
      <c r="AO54" s="503"/>
      <c r="AP54" s="503"/>
      <c r="AQ54" s="503"/>
      <c r="AR54" s="503"/>
      <c r="AS54" s="503"/>
      <c r="AT54" s="503"/>
      <c r="AU54" s="503"/>
      <c r="AV54" s="503"/>
      <c r="AW54" s="503"/>
      <c r="AX54" s="503"/>
      <c r="AY54" s="503"/>
      <c r="AZ54" s="503"/>
      <c r="BA54" s="503"/>
      <c r="BB54" s="503"/>
      <c r="BC54" s="503"/>
      <c r="BD54" s="503"/>
      <c r="BE54" s="503"/>
      <c r="BF54" s="503"/>
      <c r="BG54" s="503"/>
      <c r="BH54" s="503"/>
      <c r="BI54" s="503"/>
      <c r="BJ54" s="503"/>
      <c r="BK54" s="503"/>
      <c r="BL54" s="503"/>
      <c r="BM54" s="503"/>
      <c r="BN54" s="503"/>
      <c r="BO54" s="503"/>
      <c r="BP54" s="503"/>
      <c r="BQ54" s="503"/>
      <c r="BR54" s="503"/>
      <c r="BS54" s="503"/>
      <c r="BT54" s="503"/>
      <c r="BU54" s="503"/>
      <c r="BV54" s="503"/>
      <c r="BW54" s="503"/>
      <c r="BX54" s="503"/>
      <c r="BY54" s="503"/>
      <c r="BZ54" s="503"/>
      <c r="CA54" s="503"/>
      <c r="CB54" s="503"/>
      <c r="CC54" s="503"/>
      <c r="CD54" s="503"/>
      <c r="CE54" s="503"/>
    </row>
    <row r="55" spans="1:83" s="365" customFormat="1" ht="18" customHeight="1" thickBot="1" x14ac:dyDescent="0.25">
      <c r="A55" s="503"/>
      <c r="B55" s="541" t="str">
        <f>B54</f>
        <v>Interior Structure</v>
      </c>
      <c r="C55" s="557" t="s">
        <v>46</v>
      </c>
      <c r="D55" s="558">
        <f>COUNTIFS(Rollup_PCA_notes!$L:$L,AUTO_NOTES!$B55,Rollup_PCA_notes!$H:$H,"X")</f>
        <v>0</v>
      </c>
      <c r="E55" s="549" t="e">
        <f t="shared" si="43"/>
        <v>#DIV/0!</v>
      </c>
      <c r="F55" s="559">
        <f>SUMIFS(Rollup_PCA_notes!$J:$J,Rollup_PCA_notes!$L:$L,AUTO_NOTES!$B55,Rollup_PCA_notes!$H:$H,"x")</f>
        <v>0</v>
      </c>
      <c r="G55" s="559">
        <f>SUMIFS(Rollup_PCA_notes!$N:$N,Rollup_PCA_notes!$L:$L,AUTO_NOTES!$B55,Rollup_PCA_notes!$H:$H,"x")</f>
        <v>0</v>
      </c>
      <c r="H55" s="869"/>
      <c r="I55" s="872"/>
      <c r="J55" s="875"/>
      <c r="K55" s="875"/>
      <c r="L55" s="872"/>
      <c r="M55" s="854"/>
      <c r="N55" s="857"/>
      <c r="O55" s="860"/>
      <c r="P55" s="860"/>
      <c r="Q55" s="863"/>
      <c r="R55" s="866"/>
      <c r="S55" s="503"/>
      <c r="T55" s="539"/>
      <c r="U55" s="503"/>
      <c r="V55" s="503"/>
      <c r="W55" s="503"/>
      <c r="X55" s="503"/>
      <c r="Y55" s="503"/>
      <c r="Z55" s="503"/>
      <c r="AA55" s="503"/>
      <c r="AB55" s="503"/>
      <c r="AC55" s="503"/>
      <c r="AD55" s="503"/>
      <c r="AE55" s="503"/>
      <c r="AF55" s="503"/>
      <c r="AG55" s="503"/>
      <c r="AH55" s="503"/>
      <c r="AI55" s="503"/>
      <c r="AJ55" s="503"/>
      <c r="AK55" s="503"/>
      <c r="AL55" s="503"/>
      <c r="AM55" s="503"/>
      <c r="AN55" s="503"/>
      <c r="AO55" s="503"/>
      <c r="AP55" s="503"/>
      <c r="AQ55" s="503"/>
      <c r="AR55" s="503"/>
      <c r="AS55" s="503"/>
      <c r="AT55" s="503"/>
      <c r="AU55" s="503"/>
      <c r="AV55" s="503"/>
      <c r="AW55" s="503"/>
      <c r="AX55" s="503"/>
      <c r="AY55" s="503"/>
      <c r="AZ55" s="503"/>
      <c r="BA55" s="503"/>
      <c r="BB55" s="503"/>
      <c r="BC55" s="503"/>
      <c r="BD55" s="503"/>
      <c r="BE55" s="503"/>
      <c r="BF55" s="503"/>
      <c r="BG55" s="503"/>
      <c r="BH55" s="503"/>
      <c r="BI55" s="503"/>
      <c r="BJ55" s="503"/>
      <c r="BK55" s="503"/>
      <c r="BL55" s="503"/>
      <c r="BM55" s="503"/>
      <c r="BN55" s="503"/>
      <c r="BO55" s="503"/>
      <c r="BP55" s="503"/>
      <c r="BQ55" s="503"/>
      <c r="BR55" s="503"/>
      <c r="BS55" s="503"/>
      <c r="BT55" s="503"/>
      <c r="BU55" s="503"/>
      <c r="BV55" s="503"/>
      <c r="BW55" s="503"/>
      <c r="BX55" s="503"/>
      <c r="BY55" s="503"/>
      <c r="BZ55" s="503"/>
      <c r="CA55" s="503"/>
      <c r="CB55" s="503"/>
      <c r="CC55" s="503"/>
      <c r="CD55" s="503"/>
      <c r="CE55" s="503"/>
    </row>
    <row r="56" spans="1:83" s="365" customFormat="1" ht="18" customHeight="1" x14ac:dyDescent="0.2">
      <c r="A56" s="503"/>
      <c r="B56" s="538" t="s">
        <v>351</v>
      </c>
      <c r="C56" s="551" t="s">
        <v>41</v>
      </c>
      <c r="D56" s="552">
        <f>COUNTIFS(Rollup_PCA_notes!$L:$L,AUTO_NOTES!$B56,Rollup_PCA_notes!$C:$C,"X")</f>
        <v>0</v>
      </c>
      <c r="E56" s="547" t="e">
        <f t="shared" ref="E56:E61" si="49">D56/SUM(D$56:D$61)</f>
        <v>#DIV/0!</v>
      </c>
      <c r="F56" s="553">
        <f>SUMIFS(Rollup_PCA_notes!$J:$J,Rollup_PCA_notes!$L:$L,AUTO_NOTES!$B56,Rollup_PCA_notes!$C:$C,"x")</f>
        <v>0</v>
      </c>
      <c r="G56" s="553">
        <f>SUMIFS(Rollup_PCA_notes!$N:$N,Rollup_PCA_notes!$L:$L,AUTO_NOTES!$B56,Rollup_PCA_notes!$C:$C,"x")</f>
        <v>0</v>
      </c>
      <c r="H56" s="867">
        <f t="shared" ref="H56" si="50">IF(SUM(D59:D61)=0,0,(SUM(D59:D61)/SUM(D56:D61)))</f>
        <v>0</v>
      </c>
      <c r="I56" s="870" t="e">
        <f t="shared" ref="I56" si="51">SUM(F56:F61)/SUM(G56:G61)</f>
        <v>#DIV/0!</v>
      </c>
      <c r="J56" s="873" t="str">
        <f t="shared" ref="J56" si="52">IF(H56=0,"None",ROUNDDOWN((H56*100),0)&amp;"%")</f>
        <v>None</v>
      </c>
      <c r="K56" s="873" t="str">
        <f t="shared" ref="K56" si="53">IF(SUM(D57:D61)=0,"&lt;1%",IF(I56&lt;0.01,"&lt;1%",ROUNDDOWN((I56*100),0)&amp;"%"))</f>
        <v>&lt;1%</v>
      </c>
      <c r="L56" s="870" t="str">
        <f t="shared" ref="L56" si="54">IF(SUM(D57:D61)=0,"Green",IF(I56&gt;0.5,"Red",IF(I56&gt;0.01,"Yellow",IF(SUM(D58:D61)&gt;0,"Yellow","Green"))))</f>
        <v>Green</v>
      </c>
      <c r="M56" s="852" t="str">
        <f>IF(J56="None",$N56,$J56&amp;" "&amp;"of this system requires major renovation or replacement,"&amp;" "&amp;"including"&amp;" "&amp;$O56&amp;"  "&amp;"  "&amp;P56&amp;"  "&amp;"The cost to address identified needs is"&amp;" "&amp;$K56&amp;" "&amp;"of estimated cost to replace them, indicating"&amp;" "&amp;IF($L56="Red","need for systematic major renovations or replacements.",IF($L56="Yellow","need for significant renovations and potentially isolated replacements.",IF($L56="Green","need for regular maintenance and repairs.","error"))))</f>
        <v>None of this system requires major renovation or replacement.   The cost to address identified needs is  &lt;1% of estimated cost to replace them, indicating need for regular maintenance and repairs.</v>
      </c>
      <c r="N56" s="855" t="str">
        <f>$J56&amp;" "&amp;"of this system requires major renovation or replacement."&amp;" "&amp;" "&amp;P56&amp;" "&amp;"The cost to address identified needs is"&amp;"  "&amp;$K56&amp;" "&amp;"of estimated cost to replace them, indicating"&amp;" "&amp;IF($L56="Red","need for systematic major renovations or replacements.",IF($L56="Yellow","need for significant renovations and potentially isolated replacements.",IF($L56="Green","need for regular maintenance and repairs.","error")))</f>
        <v>None of this system requires major renovation or replacement.   The cost to address identified needs is  &lt;1% of estimated cost to replace them, indicating need for regular maintenance and repairs.</v>
      </c>
      <c r="O56" s="858" t="str" cm="1">
        <f t="array" ref="O56">_xlfn.TEXTJOIN(" ",TRUE,IF(Rollup_PCA_notes!$L:$L=AUTO_NOTES!$B56,Rollup_PCA_notes!$R:$R,""))</f>
        <v/>
      </c>
      <c r="P56" s="858" t="str" cm="1">
        <f t="array" ref="P56">_xlfn.TEXTJOIN(" ",TRUE,IF(Rollup_PCA_notes!$L:$L=AUTO_NOTES!$B56,Rollup_PCA_notes!$S:$S,""))</f>
        <v/>
      </c>
      <c r="Q56" s="861" t="str" cm="1">
        <f t="array" ref="Q56">_xlfn.TEXTJOIN(" ",TRUE,IF(Rollup_PCA_notes!$L:$L=AUTO_NOTES!$B56,Rollup_PCA_notes!$K:$K,""))</f>
        <v>0 0 0</v>
      </c>
      <c r="R56" s="864"/>
      <c r="S56" s="503"/>
      <c r="T56" s="539"/>
      <c r="U56" s="503"/>
      <c r="V56" s="503"/>
      <c r="W56" s="503"/>
      <c r="X56" s="503"/>
      <c r="Y56" s="503"/>
      <c r="Z56" s="503"/>
      <c r="AA56" s="503"/>
      <c r="AB56" s="503"/>
      <c r="AC56" s="503"/>
      <c r="AD56" s="503"/>
      <c r="AE56" s="503"/>
      <c r="AF56" s="503"/>
      <c r="AG56" s="503"/>
      <c r="AH56" s="503"/>
      <c r="AI56" s="503"/>
      <c r="AJ56" s="503"/>
      <c r="AK56" s="503"/>
      <c r="AL56" s="503"/>
      <c r="AM56" s="503"/>
      <c r="AN56" s="503"/>
      <c r="AO56" s="503"/>
      <c r="AP56" s="503"/>
      <c r="AQ56" s="503"/>
      <c r="AR56" s="503"/>
      <c r="AS56" s="503"/>
      <c r="AT56" s="503"/>
      <c r="AU56" s="503"/>
      <c r="AV56" s="503"/>
      <c r="AW56" s="503"/>
      <c r="AX56" s="503"/>
      <c r="AY56" s="503"/>
      <c r="AZ56" s="503"/>
      <c r="BA56" s="503"/>
      <c r="BB56" s="503"/>
      <c r="BC56" s="503"/>
      <c r="BD56" s="503"/>
      <c r="BE56" s="503"/>
      <c r="BF56" s="503"/>
      <c r="BG56" s="503"/>
      <c r="BH56" s="503"/>
      <c r="BI56" s="503"/>
      <c r="BJ56" s="503"/>
      <c r="BK56" s="503"/>
      <c r="BL56" s="503"/>
      <c r="BM56" s="503"/>
      <c r="BN56" s="503"/>
      <c r="BO56" s="503"/>
      <c r="BP56" s="503"/>
      <c r="BQ56" s="503"/>
      <c r="BR56" s="503"/>
      <c r="BS56" s="503"/>
      <c r="BT56" s="503"/>
      <c r="BU56" s="503"/>
      <c r="BV56" s="503"/>
      <c r="BW56" s="503"/>
      <c r="BX56" s="503"/>
      <c r="BY56" s="503"/>
      <c r="BZ56" s="503"/>
      <c r="CA56" s="503"/>
      <c r="CB56" s="503"/>
      <c r="CC56" s="503"/>
      <c r="CD56" s="503"/>
      <c r="CE56" s="503"/>
    </row>
    <row r="57" spans="1:83" s="365" customFormat="1" ht="18" customHeight="1" x14ac:dyDescent="0.2">
      <c r="A57" s="503"/>
      <c r="B57" s="540" t="s">
        <v>351</v>
      </c>
      <c r="C57" s="554" t="s">
        <v>889</v>
      </c>
      <c r="D57" s="555">
        <f>COUNTIFS(Rollup_PCA_notes!$L:$L,AUTO_NOTES!$B57,Rollup_PCA_notes!$D:$D,"X")</f>
        <v>0</v>
      </c>
      <c r="E57" s="548" t="e">
        <f t="shared" si="49"/>
        <v>#DIV/0!</v>
      </c>
      <c r="F57" s="556">
        <f>SUMIFS(Rollup_PCA_notes!$J:$J,Rollup_PCA_notes!$L:$L,AUTO_NOTES!$B57,Rollup_PCA_notes!$D:$D,"x")</f>
        <v>0</v>
      </c>
      <c r="G57" s="556">
        <f>SUMIFS(Rollup_PCA_notes!$N:$N,Rollup_PCA_notes!$L:$L,AUTO_NOTES!$B57,Rollup_PCA_notes!$D:$D,"x")</f>
        <v>0</v>
      </c>
      <c r="H57" s="868"/>
      <c r="I57" s="871"/>
      <c r="J57" s="874"/>
      <c r="K57" s="874"/>
      <c r="L57" s="871"/>
      <c r="M57" s="853"/>
      <c r="N57" s="856"/>
      <c r="O57" s="859"/>
      <c r="P57" s="859"/>
      <c r="Q57" s="862"/>
      <c r="R57" s="865"/>
      <c r="S57" s="503"/>
      <c r="T57" s="539"/>
      <c r="U57" s="503"/>
      <c r="V57" s="503"/>
      <c r="W57" s="503"/>
      <c r="X57" s="503"/>
      <c r="Y57" s="503"/>
      <c r="Z57" s="503"/>
      <c r="AA57" s="503"/>
      <c r="AB57" s="503"/>
      <c r="AC57" s="503"/>
      <c r="AD57" s="503"/>
      <c r="AE57" s="503"/>
      <c r="AF57" s="503"/>
      <c r="AG57" s="503"/>
      <c r="AH57" s="503"/>
      <c r="AI57" s="503"/>
      <c r="AJ57" s="503"/>
      <c r="AK57" s="503"/>
      <c r="AL57" s="503"/>
      <c r="AM57" s="503"/>
      <c r="AN57" s="503"/>
      <c r="AO57" s="503"/>
      <c r="AP57" s="503"/>
      <c r="AQ57" s="503"/>
      <c r="AR57" s="503"/>
      <c r="AS57" s="503"/>
      <c r="AT57" s="503"/>
      <c r="AU57" s="503"/>
      <c r="AV57" s="503"/>
      <c r="AW57" s="503"/>
      <c r="AX57" s="503"/>
      <c r="AY57" s="503"/>
      <c r="AZ57" s="503"/>
      <c r="BA57" s="503"/>
      <c r="BB57" s="503"/>
      <c r="BC57" s="503"/>
      <c r="BD57" s="503"/>
      <c r="BE57" s="503"/>
      <c r="BF57" s="503"/>
      <c r="BG57" s="503"/>
      <c r="BH57" s="503"/>
      <c r="BI57" s="503"/>
      <c r="BJ57" s="503"/>
      <c r="BK57" s="503"/>
      <c r="BL57" s="503"/>
      <c r="BM57" s="503"/>
      <c r="BN57" s="503"/>
      <c r="BO57" s="503"/>
      <c r="BP57" s="503"/>
      <c r="BQ57" s="503"/>
      <c r="BR57" s="503"/>
      <c r="BS57" s="503"/>
      <c r="BT57" s="503"/>
      <c r="BU57" s="503"/>
      <c r="BV57" s="503"/>
      <c r="BW57" s="503"/>
      <c r="BX57" s="503"/>
      <c r="BY57" s="503"/>
      <c r="BZ57" s="503"/>
      <c r="CA57" s="503"/>
      <c r="CB57" s="503"/>
      <c r="CC57" s="503"/>
      <c r="CD57" s="503"/>
      <c r="CE57" s="503"/>
    </row>
    <row r="58" spans="1:83" s="365" customFormat="1" ht="18" customHeight="1" x14ac:dyDescent="0.2">
      <c r="A58" s="503"/>
      <c r="B58" s="540" t="s">
        <v>351</v>
      </c>
      <c r="C58" s="554" t="s">
        <v>43</v>
      </c>
      <c r="D58" s="555">
        <f>COUNTIFS(Rollup_PCA_notes!$L:$L,AUTO_NOTES!$B58,Rollup_PCA_notes!$E:$E,"X")</f>
        <v>0</v>
      </c>
      <c r="E58" s="548" t="e">
        <f t="shared" si="49"/>
        <v>#DIV/0!</v>
      </c>
      <c r="F58" s="556">
        <f>SUMIFS(Rollup_PCA_notes!$J:$J,Rollup_PCA_notes!$L:$L,AUTO_NOTES!$B58,Rollup_PCA_notes!$E:$E,"x")</f>
        <v>0</v>
      </c>
      <c r="G58" s="556">
        <f>SUMIFS(Rollup_PCA_notes!$N:$N,Rollup_PCA_notes!$L:$L,AUTO_NOTES!$B58,Rollup_PCA_notes!$E:$E,"x")</f>
        <v>0</v>
      </c>
      <c r="H58" s="868"/>
      <c r="I58" s="871"/>
      <c r="J58" s="874"/>
      <c r="K58" s="874"/>
      <c r="L58" s="871"/>
      <c r="M58" s="853"/>
      <c r="N58" s="856"/>
      <c r="O58" s="859"/>
      <c r="P58" s="859"/>
      <c r="Q58" s="862"/>
      <c r="R58" s="865"/>
      <c r="S58" s="503"/>
      <c r="T58" s="539"/>
      <c r="U58" s="503"/>
      <c r="V58" s="503"/>
      <c r="W58" s="503"/>
      <c r="X58" s="503"/>
      <c r="Y58" s="503"/>
      <c r="Z58" s="503"/>
      <c r="AA58" s="503"/>
      <c r="AB58" s="503"/>
      <c r="AC58" s="503"/>
      <c r="AD58" s="503"/>
      <c r="AE58" s="503"/>
      <c r="AF58" s="503"/>
      <c r="AG58" s="503"/>
      <c r="AH58" s="503"/>
      <c r="AI58" s="503"/>
      <c r="AJ58" s="503"/>
      <c r="AK58" s="503"/>
      <c r="AL58" s="503"/>
      <c r="AM58" s="503"/>
      <c r="AN58" s="503"/>
      <c r="AO58" s="503"/>
      <c r="AP58" s="503"/>
      <c r="AQ58" s="503"/>
      <c r="AR58" s="503"/>
      <c r="AS58" s="503"/>
      <c r="AT58" s="503"/>
      <c r="AU58" s="503"/>
      <c r="AV58" s="503"/>
      <c r="AW58" s="503"/>
      <c r="AX58" s="503"/>
      <c r="AY58" s="503"/>
      <c r="AZ58" s="503"/>
      <c r="BA58" s="503"/>
      <c r="BB58" s="503"/>
      <c r="BC58" s="503"/>
      <c r="BD58" s="503"/>
      <c r="BE58" s="503"/>
      <c r="BF58" s="503"/>
      <c r="BG58" s="503"/>
      <c r="BH58" s="503"/>
      <c r="BI58" s="503"/>
      <c r="BJ58" s="503"/>
      <c r="BK58" s="503"/>
      <c r="BL58" s="503"/>
      <c r="BM58" s="503"/>
      <c r="BN58" s="503"/>
      <c r="BO58" s="503"/>
      <c r="BP58" s="503"/>
      <c r="BQ58" s="503"/>
      <c r="BR58" s="503"/>
      <c r="BS58" s="503"/>
      <c r="BT58" s="503"/>
      <c r="BU58" s="503"/>
      <c r="BV58" s="503"/>
      <c r="BW58" s="503"/>
      <c r="BX58" s="503"/>
      <c r="BY58" s="503"/>
      <c r="BZ58" s="503"/>
      <c r="CA58" s="503"/>
      <c r="CB58" s="503"/>
      <c r="CC58" s="503"/>
      <c r="CD58" s="503"/>
      <c r="CE58" s="503"/>
    </row>
    <row r="59" spans="1:83" s="365" customFormat="1" ht="18" customHeight="1" x14ac:dyDescent="0.2">
      <c r="A59" s="503"/>
      <c r="B59" s="540" t="s">
        <v>351</v>
      </c>
      <c r="C59" s="554" t="s">
        <v>890</v>
      </c>
      <c r="D59" s="555">
        <f>COUNTIFS(Rollup_PCA_notes!$L:$L,AUTO_NOTES!$B59,Rollup_PCA_notes!$F:$F,"X")</f>
        <v>0</v>
      </c>
      <c r="E59" s="548" t="e">
        <f t="shared" si="49"/>
        <v>#DIV/0!</v>
      </c>
      <c r="F59" s="556">
        <f>SUMIFS(Rollup_PCA_notes!$J:$J,Rollup_PCA_notes!$L:$L,AUTO_NOTES!$B59,Rollup_PCA_notes!$F:$F,"x")</f>
        <v>0</v>
      </c>
      <c r="G59" s="556">
        <f>SUMIFS(Rollup_PCA_notes!$N:$N,Rollup_PCA_notes!$L:$L,AUTO_NOTES!$B59,Rollup_PCA_notes!$F:$F,"x")</f>
        <v>0</v>
      </c>
      <c r="H59" s="868"/>
      <c r="I59" s="871"/>
      <c r="J59" s="874"/>
      <c r="K59" s="874"/>
      <c r="L59" s="871"/>
      <c r="M59" s="853"/>
      <c r="N59" s="856"/>
      <c r="O59" s="859"/>
      <c r="P59" s="859"/>
      <c r="Q59" s="862"/>
      <c r="R59" s="865"/>
      <c r="S59" s="503"/>
      <c r="T59" s="539"/>
      <c r="U59" s="503"/>
      <c r="V59" s="503"/>
      <c r="W59" s="503"/>
      <c r="X59" s="503"/>
      <c r="Y59" s="503"/>
      <c r="Z59" s="503"/>
      <c r="AA59" s="503"/>
      <c r="AB59" s="503"/>
      <c r="AC59" s="503"/>
      <c r="AD59" s="503"/>
      <c r="AE59" s="503"/>
      <c r="AF59" s="503"/>
      <c r="AG59" s="503"/>
      <c r="AH59" s="503"/>
      <c r="AI59" s="503"/>
      <c r="AJ59" s="503"/>
      <c r="AK59" s="503"/>
      <c r="AL59" s="503"/>
      <c r="AM59" s="503"/>
      <c r="AN59" s="503"/>
      <c r="AO59" s="503"/>
      <c r="AP59" s="503"/>
      <c r="AQ59" s="503"/>
      <c r="AR59" s="503"/>
      <c r="AS59" s="503"/>
      <c r="AT59" s="503"/>
      <c r="AU59" s="503"/>
      <c r="AV59" s="503"/>
      <c r="AW59" s="503"/>
      <c r="AX59" s="503"/>
      <c r="AY59" s="503"/>
      <c r="AZ59" s="503"/>
      <c r="BA59" s="503"/>
      <c r="BB59" s="503"/>
      <c r="BC59" s="503"/>
      <c r="BD59" s="503"/>
      <c r="BE59" s="503"/>
      <c r="BF59" s="503"/>
      <c r="BG59" s="503"/>
      <c r="BH59" s="503"/>
      <c r="BI59" s="503"/>
      <c r="BJ59" s="503"/>
      <c r="BK59" s="503"/>
      <c r="BL59" s="503"/>
      <c r="BM59" s="503"/>
      <c r="BN59" s="503"/>
      <c r="BO59" s="503"/>
      <c r="BP59" s="503"/>
      <c r="BQ59" s="503"/>
      <c r="BR59" s="503"/>
      <c r="BS59" s="503"/>
      <c r="BT59" s="503"/>
      <c r="BU59" s="503"/>
      <c r="BV59" s="503"/>
      <c r="BW59" s="503"/>
      <c r="BX59" s="503"/>
      <c r="BY59" s="503"/>
      <c r="BZ59" s="503"/>
      <c r="CA59" s="503"/>
      <c r="CB59" s="503"/>
      <c r="CC59" s="503"/>
      <c r="CD59" s="503"/>
      <c r="CE59" s="503"/>
    </row>
    <row r="60" spans="1:83" s="365" customFormat="1" ht="18" customHeight="1" x14ac:dyDescent="0.2">
      <c r="A60" s="503"/>
      <c r="B60" s="540" t="s">
        <v>351</v>
      </c>
      <c r="C60" s="554" t="s">
        <v>45</v>
      </c>
      <c r="D60" s="555">
        <f>COUNTIFS(Rollup_PCA_notes!$L:$L,AUTO_NOTES!$B60,Rollup_PCA_notes!$G:$G,"X")</f>
        <v>0</v>
      </c>
      <c r="E60" s="548" t="e">
        <f t="shared" si="49"/>
        <v>#DIV/0!</v>
      </c>
      <c r="F60" s="556">
        <f>SUMIFS(Rollup_PCA_notes!$J:$J,Rollup_PCA_notes!$L:$L,AUTO_NOTES!$B60,Rollup_PCA_notes!$G:$G,"x")</f>
        <v>0</v>
      </c>
      <c r="G60" s="556">
        <f>SUMIFS(Rollup_PCA_notes!$N:$N,Rollup_PCA_notes!$L:$L,AUTO_NOTES!$B60,Rollup_PCA_notes!$G:$G,"x")</f>
        <v>0</v>
      </c>
      <c r="H60" s="868"/>
      <c r="I60" s="871"/>
      <c r="J60" s="874"/>
      <c r="K60" s="874"/>
      <c r="L60" s="871"/>
      <c r="M60" s="853"/>
      <c r="N60" s="856"/>
      <c r="O60" s="859"/>
      <c r="P60" s="859"/>
      <c r="Q60" s="862"/>
      <c r="R60" s="865"/>
      <c r="S60" s="503"/>
      <c r="T60" s="539"/>
      <c r="U60" s="503"/>
      <c r="V60" s="503"/>
      <c r="W60" s="503"/>
      <c r="X60" s="503"/>
      <c r="Y60" s="503"/>
      <c r="Z60" s="503"/>
      <c r="AA60" s="503"/>
      <c r="AB60" s="503"/>
      <c r="AC60" s="503"/>
      <c r="AD60" s="503"/>
      <c r="AE60" s="503"/>
      <c r="AF60" s="503"/>
      <c r="AG60" s="503"/>
      <c r="AH60" s="503"/>
      <c r="AI60" s="503"/>
      <c r="AJ60" s="503"/>
      <c r="AK60" s="503"/>
      <c r="AL60" s="503"/>
      <c r="AM60" s="503"/>
      <c r="AN60" s="503"/>
      <c r="AO60" s="503"/>
      <c r="AP60" s="503"/>
      <c r="AQ60" s="503"/>
      <c r="AR60" s="503"/>
      <c r="AS60" s="503"/>
      <c r="AT60" s="503"/>
      <c r="AU60" s="503"/>
      <c r="AV60" s="503"/>
      <c r="AW60" s="503"/>
      <c r="AX60" s="503"/>
      <c r="AY60" s="503"/>
      <c r="AZ60" s="503"/>
      <c r="BA60" s="503"/>
      <c r="BB60" s="503"/>
      <c r="BC60" s="503"/>
      <c r="BD60" s="503"/>
      <c r="BE60" s="503"/>
      <c r="BF60" s="503"/>
      <c r="BG60" s="503"/>
      <c r="BH60" s="503"/>
      <c r="BI60" s="503"/>
      <c r="BJ60" s="503"/>
      <c r="BK60" s="503"/>
      <c r="BL60" s="503"/>
      <c r="BM60" s="503"/>
      <c r="BN60" s="503"/>
      <c r="BO60" s="503"/>
      <c r="BP60" s="503"/>
      <c r="BQ60" s="503"/>
      <c r="BR60" s="503"/>
      <c r="BS60" s="503"/>
      <c r="BT60" s="503"/>
      <c r="BU60" s="503"/>
      <c r="BV60" s="503"/>
      <c r="BW60" s="503"/>
      <c r="BX60" s="503"/>
      <c r="BY60" s="503"/>
      <c r="BZ60" s="503"/>
      <c r="CA60" s="503"/>
      <c r="CB60" s="503"/>
      <c r="CC60" s="503"/>
      <c r="CD60" s="503"/>
      <c r="CE60" s="503"/>
    </row>
    <row r="61" spans="1:83" s="365" customFormat="1" ht="18" customHeight="1" thickBot="1" x14ac:dyDescent="0.25">
      <c r="A61" s="503"/>
      <c r="B61" s="541" t="s">
        <v>351</v>
      </c>
      <c r="C61" s="557" t="s">
        <v>46</v>
      </c>
      <c r="D61" s="558">
        <f>COUNTIFS(Rollup_PCA_notes!$L:$L,AUTO_NOTES!$B61,Rollup_PCA_notes!$H:$H,"X")</f>
        <v>0</v>
      </c>
      <c r="E61" s="549" t="e">
        <f t="shared" si="49"/>
        <v>#DIV/0!</v>
      </c>
      <c r="F61" s="559">
        <f>SUMIFS(Rollup_PCA_notes!$J:$J,Rollup_PCA_notes!$L:$L,AUTO_NOTES!$B61,Rollup_PCA_notes!$H:$H,"x")</f>
        <v>0</v>
      </c>
      <c r="G61" s="559">
        <f>SUMIFS(Rollup_PCA_notes!$N:$N,Rollup_PCA_notes!$L:$L,AUTO_NOTES!$B61,Rollup_PCA_notes!$H:$H,"x")</f>
        <v>0</v>
      </c>
      <c r="H61" s="869"/>
      <c r="I61" s="872"/>
      <c r="J61" s="875"/>
      <c r="K61" s="875"/>
      <c r="L61" s="872"/>
      <c r="M61" s="854"/>
      <c r="N61" s="857"/>
      <c r="O61" s="860"/>
      <c r="P61" s="860"/>
      <c r="Q61" s="863"/>
      <c r="R61" s="866"/>
      <c r="S61" s="503"/>
      <c r="T61" s="539"/>
      <c r="U61" s="503"/>
      <c r="V61" s="503"/>
      <c r="W61" s="503"/>
      <c r="X61" s="503"/>
      <c r="Y61" s="503"/>
      <c r="Z61" s="503"/>
      <c r="AA61" s="503"/>
      <c r="AB61" s="503"/>
      <c r="AC61" s="503"/>
      <c r="AD61" s="503"/>
      <c r="AE61" s="503"/>
      <c r="AF61" s="503"/>
      <c r="AG61" s="503"/>
      <c r="AH61" s="503"/>
      <c r="AI61" s="503"/>
      <c r="AJ61" s="503"/>
      <c r="AK61" s="503"/>
      <c r="AL61" s="503"/>
      <c r="AM61" s="503"/>
      <c r="AN61" s="503"/>
      <c r="AO61" s="503"/>
      <c r="AP61" s="503"/>
      <c r="AQ61" s="503"/>
      <c r="AR61" s="503"/>
      <c r="AS61" s="503"/>
      <c r="AT61" s="503"/>
      <c r="AU61" s="503"/>
      <c r="AV61" s="503"/>
      <c r="AW61" s="503"/>
      <c r="AX61" s="503"/>
      <c r="AY61" s="503"/>
      <c r="AZ61" s="503"/>
      <c r="BA61" s="503"/>
      <c r="BB61" s="503"/>
      <c r="BC61" s="503"/>
      <c r="BD61" s="503"/>
      <c r="BE61" s="503"/>
      <c r="BF61" s="503"/>
      <c r="BG61" s="503"/>
      <c r="BH61" s="503"/>
      <c r="BI61" s="503"/>
      <c r="BJ61" s="503"/>
      <c r="BK61" s="503"/>
      <c r="BL61" s="503"/>
      <c r="BM61" s="503"/>
      <c r="BN61" s="503"/>
      <c r="BO61" s="503"/>
      <c r="BP61" s="503"/>
      <c r="BQ61" s="503"/>
      <c r="BR61" s="503"/>
      <c r="BS61" s="503"/>
      <c r="BT61" s="503"/>
      <c r="BU61" s="503"/>
      <c r="BV61" s="503"/>
      <c r="BW61" s="503"/>
      <c r="BX61" s="503"/>
      <c r="BY61" s="503"/>
      <c r="BZ61" s="503"/>
      <c r="CA61" s="503"/>
      <c r="CB61" s="503"/>
      <c r="CC61" s="503"/>
      <c r="CD61" s="503"/>
      <c r="CE61" s="503"/>
    </row>
    <row r="62" spans="1:83" s="365" customFormat="1" ht="18" customHeight="1" x14ac:dyDescent="0.2">
      <c r="A62" s="503"/>
      <c r="B62" s="538" t="s">
        <v>240</v>
      </c>
      <c r="C62" s="551" t="s">
        <v>41</v>
      </c>
      <c r="D62" s="552">
        <f>COUNTIFS(Rollup_PCA_notes!$L:$L,AUTO_NOTES!$B62,Rollup_PCA_notes!$C:$C,"X")</f>
        <v>0</v>
      </c>
      <c r="E62" s="547" t="e">
        <f t="shared" ref="E62:E67" si="55">D62/SUM(D$62:D$67)</f>
        <v>#DIV/0!</v>
      </c>
      <c r="F62" s="553">
        <f>SUMIFS(Rollup_PCA_notes!$J:$J,Rollup_PCA_notes!$L:$L,AUTO_NOTES!$B62,Rollup_PCA_notes!$C:$C,"x")</f>
        <v>0</v>
      </c>
      <c r="G62" s="553">
        <f>SUMIFS(Rollup_PCA_notes!$N:$N,Rollup_PCA_notes!$L:$L,AUTO_NOTES!$B62,Rollup_PCA_notes!$C:$C,"x")</f>
        <v>0</v>
      </c>
      <c r="H62" s="867">
        <f t="shared" ref="H62" si="56">IF(SUM(D65:D67)=0,0,(SUM(D65:D67)/SUM(D62:D67)))</f>
        <v>0</v>
      </c>
      <c r="I62" s="870" t="e">
        <f t="shared" ref="I62" si="57">SUM(F62:F67)/SUM(G62:G67)</f>
        <v>#DIV/0!</v>
      </c>
      <c r="J62" s="873" t="str">
        <f t="shared" ref="J62" si="58">IF(H62=0,"None",ROUNDDOWN((H62*100),0)&amp;"%")</f>
        <v>None</v>
      </c>
      <c r="K62" s="873" t="str">
        <f t="shared" ref="K62" si="59">IF(SUM(D63:D67)=0,"&lt;1%",IF(I62&lt;0.01,"&lt;1%",ROUNDDOWN((I62*100),0)&amp;"%"))</f>
        <v>&lt;1%</v>
      </c>
      <c r="L62" s="870" t="str">
        <f t="shared" ref="L62" si="60">IF(SUM(D63:D67)=0,"Green",IF(I62&gt;0.5,"Red",IF(I62&gt;0.01,"Yellow",IF(SUM(D64:D67)&gt;0,"Yellow","Green"))))</f>
        <v>Green</v>
      </c>
      <c r="M62" s="852" t="str">
        <f>IF(J62="None",$N62,$J62&amp;" "&amp;"of this system requires major renovation or replacement,"&amp;" "&amp;"including"&amp;" "&amp;$O62&amp;"  "&amp;"  "&amp;P62&amp;"  "&amp;"The cost to address identified needs is"&amp;" "&amp;$K62&amp;" "&amp;"of estimated cost to replace them, indicating"&amp;" "&amp;IF($L62="Red","need for systematic major renovations or replacements.",IF($L62="Yellow","need for significant renovations and potentially isolated replacements.",IF($L62="Green","need for regular maintenance and repairs.","error"))))</f>
        <v>None of this system requires major renovation or replacement.   The cost to address identified needs is  &lt;1% of estimated cost to replace them, indicating need for regular maintenance and repairs.</v>
      </c>
      <c r="N62" s="855" t="str">
        <f>$J62&amp;" "&amp;"of this system requires major renovation or replacement."&amp;" "&amp;" "&amp;P62&amp;" "&amp;"The cost to address identified needs is"&amp;"  "&amp;$K62&amp;" "&amp;"of estimated cost to replace them, indicating"&amp;" "&amp;IF($L62="Red","need for systematic major renovations or replacements.",IF($L62="Yellow","need for significant renovations and potentially isolated replacements.",IF($L62="Green","need for regular maintenance and repairs.","error")))</f>
        <v>None of this system requires major renovation or replacement.   The cost to address identified needs is  &lt;1% of estimated cost to replace them, indicating need for regular maintenance and repairs.</v>
      </c>
      <c r="O62" s="858" t="str" cm="1">
        <f t="array" ref="O62">_xlfn.TEXTJOIN(" ",TRUE,IF(Rollup_PCA_notes!$L:$L=AUTO_NOTES!$B62,Rollup_PCA_notes!$R:$R,""))</f>
        <v/>
      </c>
      <c r="P62" s="858" t="str" cm="1">
        <f t="array" ref="P62">_xlfn.TEXTJOIN(" ",TRUE,IF(Rollup_PCA_notes!$L:$L=AUTO_NOTES!$B62,Rollup_PCA_notes!$S:$S,""))</f>
        <v/>
      </c>
      <c r="Q62" s="861" t="str" cm="1">
        <f t="array" ref="Q62">_xlfn.TEXTJOIN(" ",TRUE,IF(Rollup_PCA_notes!$L:$L=AUTO_NOTES!$B62,Rollup_PCA_notes!$K:$K,""))</f>
        <v>0 0 0 0 0 0 0 0 0 0 0</v>
      </c>
      <c r="R62" s="864"/>
      <c r="S62" s="503"/>
      <c r="T62" s="539"/>
      <c r="U62" s="503"/>
      <c r="V62" s="503"/>
      <c r="W62" s="503"/>
      <c r="X62" s="503"/>
      <c r="Y62" s="503"/>
      <c r="Z62" s="503"/>
      <c r="AA62" s="503"/>
      <c r="AB62" s="503"/>
      <c r="AC62" s="503"/>
      <c r="AD62" s="503"/>
      <c r="AE62" s="503"/>
      <c r="AF62" s="503"/>
      <c r="AG62" s="503"/>
      <c r="AH62" s="503"/>
      <c r="AI62" s="503"/>
      <c r="AJ62" s="503"/>
      <c r="AK62" s="503"/>
      <c r="AL62" s="503"/>
      <c r="AM62" s="503"/>
      <c r="AN62" s="503"/>
      <c r="AO62" s="503"/>
      <c r="AP62" s="503"/>
      <c r="AQ62" s="503"/>
      <c r="AR62" s="503"/>
      <c r="AS62" s="503"/>
      <c r="AT62" s="503"/>
      <c r="AU62" s="503"/>
      <c r="AV62" s="503"/>
      <c r="AW62" s="503"/>
      <c r="AX62" s="503"/>
      <c r="AY62" s="503"/>
      <c r="AZ62" s="503"/>
      <c r="BA62" s="503"/>
      <c r="BB62" s="503"/>
      <c r="BC62" s="503"/>
      <c r="BD62" s="503"/>
      <c r="BE62" s="503"/>
      <c r="BF62" s="503"/>
      <c r="BG62" s="503"/>
      <c r="BH62" s="503"/>
      <c r="BI62" s="503"/>
      <c r="BJ62" s="503"/>
      <c r="BK62" s="503"/>
      <c r="BL62" s="503"/>
      <c r="BM62" s="503"/>
      <c r="BN62" s="503"/>
      <c r="BO62" s="503"/>
      <c r="BP62" s="503"/>
      <c r="BQ62" s="503"/>
      <c r="BR62" s="503"/>
      <c r="BS62" s="503"/>
      <c r="BT62" s="503"/>
      <c r="BU62" s="503"/>
      <c r="BV62" s="503"/>
      <c r="BW62" s="503"/>
      <c r="BX62" s="503"/>
      <c r="BY62" s="503"/>
      <c r="BZ62" s="503"/>
      <c r="CA62" s="503"/>
      <c r="CB62" s="503"/>
      <c r="CC62" s="503"/>
      <c r="CD62" s="503"/>
      <c r="CE62" s="503"/>
    </row>
    <row r="63" spans="1:83" s="365" customFormat="1" ht="18" customHeight="1" x14ac:dyDescent="0.2">
      <c r="A63" s="503"/>
      <c r="B63" s="540" t="str">
        <f>B62</f>
        <v>Plumbing</v>
      </c>
      <c r="C63" s="554" t="s">
        <v>889</v>
      </c>
      <c r="D63" s="555">
        <f>COUNTIFS(Rollup_PCA_notes!$L:$L,AUTO_NOTES!$B63,Rollup_PCA_notes!$D:$D,"X")</f>
        <v>0</v>
      </c>
      <c r="E63" s="548" t="e">
        <f t="shared" si="55"/>
        <v>#DIV/0!</v>
      </c>
      <c r="F63" s="556">
        <f>SUMIFS(Rollup_PCA_notes!$J:$J,Rollup_PCA_notes!$L:$L,AUTO_NOTES!$B63,Rollup_PCA_notes!$D:$D,"x")</f>
        <v>0</v>
      </c>
      <c r="G63" s="556">
        <f>SUMIFS(Rollup_PCA_notes!$N:$N,Rollup_PCA_notes!$L:$L,AUTO_NOTES!$B63,Rollup_PCA_notes!$D:$D,"x")</f>
        <v>0</v>
      </c>
      <c r="H63" s="868"/>
      <c r="I63" s="871"/>
      <c r="J63" s="874"/>
      <c r="K63" s="874"/>
      <c r="L63" s="871"/>
      <c r="M63" s="853"/>
      <c r="N63" s="856"/>
      <c r="O63" s="859"/>
      <c r="P63" s="859"/>
      <c r="Q63" s="862"/>
      <c r="R63" s="865"/>
      <c r="S63" s="503"/>
      <c r="T63" s="539"/>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503"/>
      <c r="AY63" s="503"/>
      <c r="AZ63" s="503"/>
      <c r="BA63" s="503"/>
      <c r="BB63" s="503"/>
      <c r="BC63" s="503"/>
      <c r="BD63" s="503"/>
      <c r="BE63" s="503"/>
      <c r="BF63" s="503"/>
      <c r="BG63" s="503"/>
      <c r="BH63" s="503"/>
      <c r="BI63" s="503"/>
      <c r="BJ63" s="503"/>
      <c r="BK63" s="503"/>
      <c r="BL63" s="503"/>
      <c r="BM63" s="503"/>
      <c r="BN63" s="503"/>
      <c r="BO63" s="503"/>
      <c r="BP63" s="503"/>
      <c r="BQ63" s="503"/>
      <c r="BR63" s="503"/>
      <c r="BS63" s="503"/>
      <c r="BT63" s="503"/>
      <c r="BU63" s="503"/>
      <c r="BV63" s="503"/>
      <c r="BW63" s="503"/>
      <c r="BX63" s="503"/>
      <c r="BY63" s="503"/>
      <c r="BZ63" s="503"/>
      <c r="CA63" s="503"/>
      <c r="CB63" s="503"/>
      <c r="CC63" s="503"/>
      <c r="CD63" s="503"/>
      <c r="CE63" s="503"/>
    </row>
    <row r="64" spans="1:83" s="365" customFormat="1" ht="18" customHeight="1" x14ac:dyDescent="0.2">
      <c r="A64" s="503"/>
      <c r="B64" s="540" t="str">
        <f>B63</f>
        <v>Plumbing</v>
      </c>
      <c r="C64" s="554" t="s">
        <v>43</v>
      </c>
      <c r="D64" s="555">
        <f>COUNTIFS(Rollup_PCA_notes!$L:$L,AUTO_NOTES!$B64,Rollup_PCA_notes!$E:$E,"X")</f>
        <v>0</v>
      </c>
      <c r="E64" s="548" t="e">
        <f t="shared" si="55"/>
        <v>#DIV/0!</v>
      </c>
      <c r="F64" s="556">
        <f>SUMIFS(Rollup_PCA_notes!$J:$J,Rollup_PCA_notes!$L:$L,AUTO_NOTES!$B64,Rollup_PCA_notes!$E:$E,"x")</f>
        <v>0</v>
      </c>
      <c r="G64" s="556">
        <f>SUMIFS(Rollup_PCA_notes!$N:$N,Rollup_PCA_notes!$L:$L,AUTO_NOTES!$B64,Rollup_PCA_notes!$E:$E,"x")</f>
        <v>0</v>
      </c>
      <c r="H64" s="868"/>
      <c r="I64" s="871"/>
      <c r="J64" s="874"/>
      <c r="K64" s="874"/>
      <c r="L64" s="871"/>
      <c r="M64" s="853"/>
      <c r="N64" s="856"/>
      <c r="O64" s="859"/>
      <c r="P64" s="859"/>
      <c r="Q64" s="862"/>
      <c r="R64" s="865"/>
      <c r="S64" s="503"/>
      <c r="T64" s="539"/>
      <c r="U64" s="503"/>
      <c r="V64" s="503"/>
      <c r="W64" s="503"/>
      <c r="X64" s="503"/>
      <c r="Y64" s="503"/>
      <c r="Z64" s="503"/>
      <c r="AA64" s="503"/>
      <c r="AB64" s="503"/>
      <c r="AC64" s="503"/>
      <c r="AD64" s="503"/>
      <c r="AE64" s="503"/>
      <c r="AF64" s="503"/>
      <c r="AG64" s="503"/>
      <c r="AH64" s="503"/>
      <c r="AI64" s="503"/>
      <c r="AJ64" s="503"/>
      <c r="AK64" s="503"/>
      <c r="AL64" s="503"/>
      <c r="AM64" s="503"/>
      <c r="AN64" s="503"/>
      <c r="AO64" s="503"/>
      <c r="AP64" s="503"/>
      <c r="AQ64" s="503"/>
      <c r="AR64" s="503"/>
      <c r="AS64" s="503"/>
      <c r="AT64" s="503"/>
      <c r="AU64" s="503"/>
      <c r="AV64" s="503"/>
      <c r="AW64" s="503"/>
      <c r="AX64" s="503"/>
      <c r="AY64" s="503"/>
      <c r="AZ64" s="503"/>
      <c r="BA64" s="503"/>
      <c r="BB64" s="503"/>
      <c r="BC64" s="503"/>
      <c r="BD64" s="503"/>
      <c r="BE64" s="503"/>
      <c r="BF64" s="503"/>
      <c r="BG64" s="503"/>
      <c r="BH64" s="503"/>
      <c r="BI64" s="503"/>
      <c r="BJ64" s="503"/>
      <c r="BK64" s="503"/>
      <c r="BL64" s="503"/>
      <c r="BM64" s="503"/>
      <c r="BN64" s="503"/>
      <c r="BO64" s="503"/>
      <c r="BP64" s="503"/>
      <c r="BQ64" s="503"/>
      <c r="BR64" s="503"/>
      <c r="BS64" s="503"/>
      <c r="BT64" s="503"/>
      <c r="BU64" s="503"/>
      <c r="BV64" s="503"/>
      <c r="BW64" s="503"/>
      <c r="BX64" s="503"/>
      <c r="BY64" s="503"/>
      <c r="BZ64" s="503"/>
      <c r="CA64" s="503"/>
      <c r="CB64" s="503"/>
      <c r="CC64" s="503"/>
      <c r="CD64" s="503"/>
      <c r="CE64" s="503"/>
    </row>
    <row r="65" spans="1:83" s="365" customFormat="1" ht="18" customHeight="1" x14ac:dyDescent="0.2">
      <c r="A65" s="503"/>
      <c r="B65" s="540" t="str">
        <f>B64</f>
        <v>Plumbing</v>
      </c>
      <c r="C65" s="554" t="s">
        <v>890</v>
      </c>
      <c r="D65" s="555">
        <f>COUNTIFS(Rollup_PCA_notes!$L:$L,AUTO_NOTES!$B65,Rollup_PCA_notes!$F:$F,"X")</f>
        <v>0</v>
      </c>
      <c r="E65" s="548" t="e">
        <f t="shared" si="55"/>
        <v>#DIV/0!</v>
      </c>
      <c r="F65" s="556">
        <f>SUMIFS(Rollup_PCA_notes!$J:$J,Rollup_PCA_notes!$L:$L,AUTO_NOTES!$B65,Rollup_PCA_notes!$F:$F,"x")</f>
        <v>0</v>
      </c>
      <c r="G65" s="556">
        <f>SUMIFS(Rollup_PCA_notes!$N:$N,Rollup_PCA_notes!$L:$L,AUTO_NOTES!$B65,Rollup_PCA_notes!$F:$F,"x")</f>
        <v>0</v>
      </c>
      <c r="H65" s="868"/>
      <c r="I65" s="871"/>
      <c r="J65" s="874"/>
      <c r="K65" s="874"/>
      <c r="L65" s="871"/>
      <c r="M65" s="853"/>
      <c r="N65" s="856"/>
      <c r="O65" s="859"/>
      <c r="P65" s="859"/>
      <c r="Q65" s="862"/>
      <c r="R65" s="865"/>
      <c r="S65" s="503"/>
      <c r="T65" s="539"/>
      <c r="U65" s="503"/>
      <c r="V65" s="503"/>
      <c r="W65" s="503"/>
      <c r="X65" s="503"/>
      <c r="Y65" s="503"/>
      <c r="Z65" s="503"/>
      <c r="AA65" s="503"/>
      <c r="AB65" s="503"/>
      <c r="AC65" s="503"/>
      <c r="AD65" s="503"/>
      <c r="AE65" s="503"/>
      <c r="AF65" s="503"/>
      <c r="AG65" s="503"/>
      <c r="AH65" s="503"/>
      <c r="AI65" s="503"/>
      <c r="AJ65" s="503"/>
      <c r="AK65" s="503"/>
      <c r="AL65" s="503"/>
      <c r="AM65" s="503"/>
      <c r="AN65" s="503"/>
      <c r="AO65" s="503"/>
      <c r="AP65" s="503"/>
      <c r="AQ65" s="503"/>
      <c r="AR65" s="503"/>
      <c r="AS65" s="503"/>
      <c r="AT65" s="503"/>
      <c r="AU65" s="503"/>
      <c r="AV65" s="503"/>
      <c r="AW65" s="503"/>
      <c r="AX65" s="503"/>
      <c r="AY65" s="503"/>
      <c r="AZ65" s="503"/>
      <c r="BA65" s="503"/>
      <c r="BB65" s="503"/>
      <c r="BC65" s="503"/>
      <c r="BD65" s="503"/>
      <c r="BE65" s="503"/>
      <c r="BF65" s="503"/>
      <c r="BG65" s="503"/>
      <c r="BH65" s="503"/>
      <c r="BI65" s="503"/>
      <c r="BJ65" s="503"/>
      <c r="BK65" s="503"/>
      <c r="BL65" s="503"/>
      <c r="BM65" s="503"/>
      <c r="BN65" s="503"/>
      <c r="BO65" s="503"/>
      <c r="BP65" s="503"/>
      <c r="BQ65" s="503"/>
      <c r="BR65" s="503"/>
      <c r="BS65" s="503"/>
      <c r="BT65" s="503"/>
      <c r="BU65" s="503"/>
      <c r="BV65" s="503"/>
      <c r="BW65" s="503"/>
      <c r="BX65" s="503"/>
      <c r="BY65" s="503"/>
      <c r="BZ65" s="503"/>
      <c r="CA65" s="503"/>
      <c r="CB65" s="503"/>
      <c r="CC65" s="503"/>
      <c r="CD65" s="503"/>
      <c r="CE65" s="503"/>
    </row>
    <row r="66" spans="1:83" s="365" customFormat="1" ht="18" customHeight="1" x14ac:dyDescent="0.2">
      <c r="A66" s="503"/>
      <c r="B66" s="540" t="str">
        <f>B65</f>
        <v>Plumbing</v>
      </c>
      <c r="C66" s="554" t="s">
        <v>45</v>
      </c>
      <c r="D66" s="555">
        <f>COUNTIFS(Rollup_PCA_notes!$L:$L,AUTO_NOTES!$B66,Rollup_PCA_notes!$G:$G,"X")</f>
        <v>0</v>
      </c>
      <c r="E66" s="548" t="e">
        <f t="shared" si="55"/>
        <v>#DIV/0!</v>
      </c>
      <c r="F66" s="556">
        <f>SUMIFS(Rollup_PCA_notes!$J:$J,Rollup_PCA_notes!$L:$L,AUTO_NOTES!$B66,Rollup_PCA_notes!$G:$G,"x")</f>
        <v>0</v>
      </c>
      <c r="G66" s="556">
        <f>SUMIFS(Rollup_PCA_notes!$N:$N,Rollup_PCA_notes!$L:$L,AUTO_NOTES!$B66,Rollup_PCA_notes!$G:$G,"x")</f>
        <v>0</v>
      </c>
      <c r="H66" s="868"/>
      <c r="I66" s="871"/>
      <c r="J66" s="874"/>
      <c r="K66" s="874"/>
      <c r="L66" s="871"/>
      <c r="M66" s="853"/>
      <c r="N66" s="856"/>
      <c r="O66" s="859"/>
      <c r="P66" s="859"/>
      <c r="Q66" s="862"/>
      <c r="R66" s="865"/>
      <c r="S66" s="503"/>
      <c r="T66" s="539"/>
      <c r="U66" s="503"/>
      <c r="V66" s="503"/>
      <c r="W66" s="503"/>
      <c r="X66" s="503"/>
      <c r="Y66" s="503"/>
      <c r="Z66" s="503"/>
      <c r="AA66" s="503"/>
      <c r="AB66" s="503"/>
      <c r="AC66" s="503"/>
      <c r="AD66" s="503"/>
      <c r="AE66" s="503"/>
      <c r="AF66" s="503"/>
      <c r="AG66" s="503"/>
      <c r="AH66" s="503"/>
      <c r="AI66" s="503"/>
      <c r="AJ66" s="503"/>
      <c r="AK66" s="503"/>
      <c r="AL66" s="503"/>
      <c r="AM66" s="503"/>
      <c r="AN66" s="503"/>
      <c r="AO66" s="503"/>
      <c r="AP66" s="503"/>
      <c r="AQ66" s="503"/>
      <c r="AR66" s="503"/>
      <c r="AS66" s="503"/>
      <c r="AT66" s="503"/>
      <c r="AU66" s="503"/>
      <c r="AV66" s="503"/>
      <c r="AW66" s="503"/>
      <c r="AX66" s="503"/>
      <c r="AY66" s="503"/>
      <c r="AZ66" s="503"/>
      <c r="BA66" s="503"/>
      <c r="BB66" s="503"/>
      <c r="BC66" s="503"/>
      <c r="BD66" s="503"/>
      <c r="BE66" s="503"/>
      <c r="BF66" s="503"/>
      <c r="BG66" s="503"/>
      <c r="BH66" s="503"/>
      <c r="BI66" s="503"/>
      <c r="BJ66" s="503"/>
      <c r="BK66" s="503"/>
      <c r="BL66" s="503"/>
      <c r="BM66" s="503"/>
      <c r="BN66" s="503"/>
      <c r="BO66" s="503"/>
      <c r="BP66" s="503"/>
      <c r="BQ66" s="503"/>
      <c r="BR66" s="503"/>
      <c r="BS66" s="503"/>
      <c r="BT66" s="503"/>
      <c r="BU66" s="503"/>
      <c r="BV66" s="503"/>
      <c r="BW66" s="503"/>
      <c r="BX66" s="503"/>
      <c r="BY66" s="503"/>
      <c r="BZ66" s="503"/>
      <c r="CA66" s="503"/>
      <c r="CB66" s="503"/>
      <c r="CC66" s="503"/>
      <c r="CD66" s="503"/>
      <c r="CE66" s="503"/>
    </row>
    <row r="67" spans="1:83" s="365" customFormat="1" ht="18" customHeight="1" thickBot="1" x14ac:dyDescent="0.25">
      <c r="A67" s="503"/>
      <c r="B67" s="541" t="str">
        <f>B66</f>
        <v>Plumbing</v>
      </c>
      <c r="C67" s="557" t="s">
        <v>46</v>
      </c>
      <c r="D67" s="558">
        <f>COUNTIFS(Rollup_PCA_notes!$L:$L,AUTO_NOTES!$B67,Rollup_PCA_notes!$H:$H,"X")</f>
        <v>0</v>
      </c>
      <c r="E67" s="549" t="e">
        <f t="shared" si="55"/>
        <v>#DIV/0!</v>
      </c>
      <c r="F67" s="559">
        <f>SUMIFS(Rollup_PCA_notes!$J:$J,Rollup_PCA_notes!$L:$L,AUTO_NOTES!$B67,Rollup_PCA_notes!$H:$H,"x")</f>
        <v>0</v>
      </c>
      <c r="G67" s="559">
        <f>SUMIFS(Rollup_PCA_notes!$N:$N,Rollup_PCA_notes!$L:$L,AUTO_NOTES!$B67,Rollup_PCA_notes!$H:$H,"x")</f>
        <v>0</v>
      </c>
      <c r="H67" s="869"/>
      <c r="I67" s="872"/>
      <c r="J67" s="875"/>
      <c r="K67" s="875"/>
      <c r="L67" s="872"/>
      <c r="M67" s="854"/>
      <c r="N67" s="857"/>
      <c r="O67" s="860"/>
      <c r="P67" s="860"/>
      <c r="Q67" s="863"/>
      <c r="R67" s="866"/>
      <c r="S67" s="503"/>
      <c r="T67" s="539"/>
      <c r="U67" s="503"/>
      <c r="V67" s="503"/>
      <c r="W67" s="503"/>
      <c r="X67" s="503"/>
      <c r="Y67" s="503"/>
      <c r="Z67" s="503"/>
      <c r="AA67" s="503"/>
      <c r="AB67" s="503"/>
      <c r="AC67" s="503"/>
      <c r="AD67" s="503"/>
      <c r="AE67" s="503"/>
      <c r="AF67" s="503"/>
      <c r="AG67" s="503"/>
      <c r="AH67" s="503"/>
      <c r="AI67" s="503"/>
      <c r="AJ67" s="503"/>
      <c r="AK67" s="503"/>
      <c r="AL67" s="503"/>
      <c r="AM67" s="503"/>
      <c r="AN67" s="503"/>
      <c r="AO67" s="503"/>
      <c r="AP67" s="503"/>
      <c r="AQ67" s="503"/>
      <c r="AR67" s="503"/>
      <c r="AS67" s="503"/>
      <c r="AT67" s="503"/>
      <c r="AU67" s="503"/>
      <c r="AV67" s="503"/>
      <c r="AW67" s="503"/>
      <c r="AX67" s="503"/>
      <c r="AY67" s="503"/>
      <c r="AZ67" s="503"/>
      <c r="BA67" s="503"/>
      <c r="BB67" s="503"/>
      <c r="BC67" s="503"/>
      <c r="BD67" s="503"/>
      <c r="BE67" s="503"/>
      <c r="BF67" s="503"/>
      <c r="BG67" s="503"/>
      <c r="BH67" s="503"/>
      <c r="BI67" s="503"/>
      <c r="BJ67" s="503"/>
      <c r="BK67" s="503"/>
      <c r="BL67" s="503"/>
      <c r="BM67" s="503"/>
      <c r="BN67" s="503"/>
      <c r="BO67" s="503"/>
      <c r="BP67" s="503"/>
      <c r="BQ67" s="503"/>
      <c r="BR67" s="503"/>
      <c r="BS67" s="503"/>
      <c r="BT67" s="503"/>
      <c r="BU67" s="503"/>
      <c r="BV67" s="503"/>
      <c r="BW67" s="503"/>
      <c r="BX67" s="503"/>
      <c r="BY67" s="503"/>
      <c r="BZ67" s="503"/>
      <c r="CA67" s="503"/>
      <c r="CB67" s="503"/>
      <c r="CC67" s="503"/>
      <c r="CD67" s="503"/>
      <c r="CE67" s="503"/>
    </row>
    <row r="68" spans="1:83" s="365" customFormat="1" ht="18" customHeight="1" x14ac:dyDescent="0.2">
      <c r="A68" s="503"/>
      <c r="B68" s="538" t="s">
        <v>93</v>
      </c>
      <c r="C68" s="551" t="s">
        <v>41</v>
      </c>
      <c r="D68" s="552">
        <f>COUNTIFS(Rollup_PCA_notes!$L:$L,AUTO_NOTES!$B68,Rollup_PCA_notes!$C:$C,"X")</f>
        <v>0</v>
      </c>
      <c r="E68" s="547" t="e">
        <f t="shared" ref="E68:E73" si="61">D68/SUM(D$68:D$73)</f>
        <v>#DIV/0!</v>
      </c>
      <c r="F68" s="553">
        <f>SUMIFS(Rollup_PCA_notes!$J:$J,Rollup_PCA_notes!$L:$L,AUTO_NOTES!$B68,Rollup_PCA_notes!$C:$C,"x")</f>
        <v>0</v>
      </c>
      <c r="G68" s="553">
        <f>SUMIFS(Rollup_PCA_notes!$N:$N,Rollup_PCA_notes!$L:$L,AUTO_NOTES!$B68,Rollup_PCA_notes!$C:$C,"x")</f>
        <v>0</v>
      </c>
      <c r="H68" s="867">
        <f t="shared" ref="H68" si="62">IF(SUM(D71:D73)=0,0,(SUM(D71:D73)/SUM(D68:D73)))</f>
        <v>0</v>
      </c>
      <c r="I68" s="870" t="e">
        <f t="shared" ref="I68" si="63">SUM(F68:F73)/SUM(G68:G73)</f>
        <v>#DIV/0!</v>
      </c>
      <c r="J68" s="873" t="str">
        <f t="shared" ref="J68" si="64">IF(H68=0,"None",ROUNDDOWN((H68*100),0)&amp;"%")</f>
        <v>None</v>
      </c>
      <c r="K68" s="873" t="str">
        <f t="shared" ref="K68" si="65">IF(SUM(D69:D73)=0,"&lt;1%",IF(I68&lt;0.01,"&lt;1%",ROUNDDOWN((I68*100),0)&amp;"%"))</f>
        <v>&lt;1%</v>
      </c>
      <c r="L68" s="870" t="str">
        <f t="shared" ref="L68" si="66">IF(SUM(D69:D73)=0,"Green",IF(I68&gt;0.5,"Red",IF(I68&gt;0.01,"Yellow",IF(SUM(D70:D73)&gt;0,"Yellow","Green"))))</f>
        <v>Green</v>
      </c>
      <c r="M68" s="852" t="str">
        <f>IF(J68="None",$N68,$J68&amp;" "&amp;"of this system requires major renovation or replacement,"&amp;" "&amp;"including"&amp;" "&amp;$O68&amp;"  "&amp;"  "&amp;P68&amp;"  "&amp;"The cost to address identified needs is"&amp;" "&amp;$K68&amp;" "&amp;"of estimated cost to replace them, indicating"&amp;" "&amp;IF($L68="Red","need for systematic major renovations or replacements.",IF($L68="Yellow","need for significant renovations and potentially isolated replacements.",IF($L68="Green","need for regular maintenance and repairs.","error"))))</f>
        <v>None of this system requires major renovation or replacement.   The cost to address identified needs is  &lt;1% of estimated cost to replace them, indicating need for regular maintenance and repairs.</v>
      </c>
      <c r="N68" s="855" t="str">
        <f>$J68&amp;" "&amp;"of this system requires major renovation or replacement."&amp;" "&amp;" "&amp;P68&amp;" "&amp;"The cost to address identified needs is"&amp;"  "&amp;$K68&amp;" "&amp;"of estimated cost to replace them, indicating"&amp;" "&amp;IF($L68="Red","need for systematic major renovations or replacements.",IF($L68="Yellow","need for significant renovations and potentially isolated replacements.",IF($L68="Green","need for regular maintenance and repairs.","error")))</f>
        <v>None of this system requires major renovation or replacement.   The cost to address identified needs is  &lt;1% of estimated cost to replace them, indicating need for regular maintenance and repairs.</v>
      </c>
      <c r="O68" s="858" t="str" cm="1">
        <f t="array" ref="O68">_xlfn.TEXTJOIN(" ",TRUE,IF(Rollup_PCA_notes!$L:$L=AUTO_NOTES!$B68,Rollup_PCA_notes!$R:$R,""))</f>
        <v/>
      </c>
      <c r="P68" s="858" t="str" cm="1">
        <f t="array" ref="P68">_xlfn.TEXTJOIN(" ",TRUE,IF(Rollup_PCA_notes!$L:$L=AUTO_NOTES!$B68,Rollup_PCA_notes!$S:$S,""))</f>
        <v/>
      </c>
      <c r="Q68" s="861" t="str" cm="1">
        <f t="array" ref="Q68">_xlfn.TEXTJOIN(" ",TRUE,IF(Rollup_PCA_notes!$L:$L=AUTO_NOTES!$B68,Rollup_PCA_notes!$K:$K,""))</f>
        <v>0 0 0 0 0 0 0 0 0 0 0 0 0</v>
      </c>
      <c r="R68" s="864"/>
      <c r="S68" s="503"/>
      <c r="T68" s="539"/>
      <c r="U68" s="503"/>
      <c r="V68" s="503"/>
      <c r="W68" s="503"/>
      <c r="X68" s="503"/>
      <c r="Y68" s="503"/>
      <c r="Z68" s="503"/>
      <c r="AA68" s="503"/>
      <c r="AB68" s="503"/>
      <c r="AC68" s="503"/>
      <c r="AD68" s="503"/>
      <c r="AE68" s="503"/>
      <c r="AF68" s="503"/>
      <c r="AG68" s="503"/>
      <c r="AH68" s="503"/>
      <c r="AI68" s="503"/>
      <c r="AJ68" s="503"/>
      <c r="AK68" s="503"/>
      <c r="AL68" s="503"/>
      <c r="AM68" s="503"/>
      <c r="AN68" s="503"/>
      <c r="AO68" s="503"/>
      <c r="AP68" s="503"/>
      <c r="AQ68" s="503"/>
      <c r="AR68" s="503"/>
      <c r="AS68" s="503"/>
      <c r="AT68" s="503"/>
      <c r="AU68" s="503"/>
      <c r="AV68" s="503"/>
      <c r="AW68" s="503"/>
      <c r="AX68" s="503"/>
      <c r="AY68" s="503"/>
      <c r="AZ68" s="503"/>
      <c r="BA68" s="503"/>
      <c r="BB68" s="503"/>
      <c r="BC68" s="503"/>
      <c r="BD68" s="503"/>
      <c r="BE68" s="503"/>
      <c r="BF68" s="503"/>
      <c r="BG68" s="503"/>
      <c r="BH68" s="503"/>
      <c r="BI68" s="503"/>
      <c r="BJ68" s="503"/>
      <c r="BK68" s="503"/>
      <c r="BL68" s="503"/>
      <c r="BM68" s="503"/>
      <c r="BN68" s="503"/>
      <c r="BO68" s="503"/>
      <c r="BP68" s="503"/>
      <c r="BQ68" s="503"/>
      <c r="BR68" s="503"/>
      <c r="BS68" s="503"/>
      <c r="BT68" s="503"/>
      <c r="BU68" s="503"/>
      <c r="BV68" s="503"/>
      <c r="BW68" s="503"/>
      <c r="BX68" s="503"/>
      <c r="BY68" s="503"/>
      <c r="BZ68" s="503"/>
      <c r="CA68" s="503"/>
      <c r="CB68" s="503"/>
      <c r="CC68" s="503"/>
      <c r="CD68" s="503"/>
      <c r="CE68" s="503"/>
    </row>
    <row r="69" spans="1:83" s="365" customFormat="1" ht="18" customHeight="1" x14ac:dyDescent="0.2">
      <c r="A69" s="503"/>
      <c r="B69" s="540" t="str">
        <f>B68</f>
        <v>Roofing</v>
      </c>
      <c r="C69" s="554" t="s">
        <v>889</v>
      </c>
      <c r="D69" s="555">
        <f>COUNTIFS(Rollup_PCA_notes!$L:$L,AUTO_NOTES!$B69,Rollup_PCA_notes!$D:$D,"X")</f>
        <v>0</v>
      </c>
      <c r="E69" s="548" t="e">
        <f t="shared" si="61"/>
        <v>#DIV/0!</v>
      </c>
      <c r="F69" s="556">
        <f>SUMIFS(Rollup_PCA_notes!$J:$J,Rollup_PCA_notes!$L:$L,AUTO_NOTES!$B69,Rollup_PCA_notes!$D:$D,"x")</f>
        <v>0</v>
      </c>
      <c r="G69" s="556">
        <f>SUMIFS(Rollup_PCA_notes!$N:$N,Rollup_PCA_notes!$L:$L,AUTO_NOTES!$B69,Rollup_PCA_notes!$D:$D,"x")</f>
        <v>0</v>
      </c>
      <c r="H69" s="868"/>
      <c r="I69" s="871"/>
      <c r="J69" s="874"/>
      <c r="K69" s="874"/>
      <c r="L69" s="871"/>
      <c r="M69" s="853"/>
      <c r="N69" s="856"/>
      <c r="O69" s="859"/>
      <c r="P69" s="859"/>
      <c r="Q69" s="862"/>
      <c r="R69" s="865"/>
      <c r="S69" s="503"/>
      <c r="T69" s="539"/>
      <c r="U69" s="503"/>
      <c r="V69" s="503"/>
      <c r="W69" s="503"/>
      <c r="X69" s="503"/>
      <c r="Y69" s="503"/>
      <c r="Z69" s="503"/>
      <c r="AA69" s="503"/>
      <c r="AB69" s="503"/>
      <c r="AC69" s="503"/>
      <c r="AD69" s="503"/>
      <c r="AE69" s="503"/>
      <c r="AF69" s="503"/>
      <c r="AG69" s="503"/>
      <c r="AH69" s="503"/>
      <c r="AI69" s="503"/>
      <c r="AJ69" s="503"/>
      <c r="AK69" s="503"/>
      <c r="AL69" s="503"/>
      <c r="AM69" s="503"/>
      <c r="AN69" s="503"/>
      <c r="AO69" s="503"/>
      <c r="AP69" s="503"/>
      <c r="AQ69" s="503"/>
      <c r="AR69" s="503"/>
      <c r="AS69" s="503"/>
      <c r="AT69" s="503"/>
      <c r="AU69" s="503"/>
      <c r="AV69" s="503"/>
      <c r="AW69" s="503"/>
      <c r="AX69" s="503"/>
      <c r="AY69" s="503"/>
      <c r="AZ69" s="503"/>
      <c r="BA69" s="503"/>
      <c r="BB69" s="503"/>
      <c r="BC69" s="503"/>
      <c r="BD69" s="503"/>
      <c r="BE69" s="503"/>
      <c r="BF69" s="503"/>
      <c r="BG69" s="503"/>
      <c r="BH69" s="503"/>
      <c r="BI69" s="503"/>
      <c r="BJ69" s="503"/>
      <c r="BK69" s="503"/>
      <c r="BL69" s="503"/>
      <c r="BM69" s="503"/>
      <c r="BN69" s="503"/>
      <c r="BO69" s="503"/>
      <c r="BP69" s="503"/>
      <c r="BQ69" s="503"/>
      <c r="BR69" s="503"/>
      <c r="BS69" s="503"/>
      <c r="BT69" s="503"/>
      <c r="BU69" s="503"/>
      <c r="BV69" s="503"/>
      <c r="BW69" s="503"/>
      <c r="BX69" s="503"/>
      <c r="BY69" s="503"/>
      <c r="BZ69" s="503"/>
      <c r="CA69" s="503"/>
      <c r="CB69" s="503"/>
      <c r="CC69" s="503"/>
      <c r="CD69" s="503"/>
      <c r="CE69" s="503"/>
    </row>
    <row r="70" spans="1:83" s="365" customFormat="1" ht="18" customHeight="1" x14ac:dyDescent="0.2">
      <c r="A70" s="503"/>
      <c r="B70" s="540" t="str">
        <f>B69</f>
        <v>Roofing</v>
      </c>
      <c r="C70" s="554" t="s">
        <v>43</v>
      </c>
      <c r="D70" s="555">
        <f>COUNTIFS(Rollup_PCA_notes!$L:$L,AUTO_NOTES!$B70,Rollup_PCA_notes!$E:$E,"X")</f>
        <v>0</v>
      </c>
      <c r="E70" s="548" t="e">
        <f t="shared" si="61"/>
        <v>#DIV/0!</v>
      </c>
      <c r="F70" s="556">
        <f>SUMIFS(Rollup_PCA_notes!$J:$J,Rollup_PCA_notes!$L:$L,AUTO_NOTES!$B70,Rollup_PCA_notes!$E:$E,"x")</f>
        <v>0</v>
      </c>
      <c r="G70" s="556">
        <f>SUMIFS(Rollup_PCA_notes!$N:$N,Rollup_PCA_notes!$L:$L,AUTO_NOTES!$B70,Rollup_PCA_notes!$E:$E,"x")</f>
        <v>0</v>
      </c>
      <c r="H70" s="868"/>
      <c r="I70" s="871"/>
      <c r="J70" s="874"/>
      <c r="K70" s="874"/>
      <c r="L70" s="871"/>
      <c r="M70" s="853"/>
      <c r="N70" s="856"/>
      <c r="O70" s="859"/>
      <c r="P70" s="859"/>
      <c r="Q70" s="862"/>
      <c r="R70" s="865"/>
      <c r="S70" s="503"/>
      <c r="T70" s="539"/>
      <c r="U70" s="503"/>
      <c r="V70" s="503"/>
      <c r="W70" s="503"/>
      <c r="X70" s="503"/>
      <c r="Y70" s="503"/>
      <c r="Z70" s="503"/>
      <c r="AA70" s="503"/>
      <c r="AB70" s="503"/>
      <c r="AC70" s="503"/>
      <c r="AD70" s="503"/>
      <c r="AE70" s="503"/>
      <c r="AF70" s="503"/>
      <c r="AG70" s="503"/>
      <c r="AH70" s="503"/>
      <c r="AI70" s="503"/>
      <c r="AJ70" s="503"/>
      <c r="AK70" s="503"/>
      <c r="AL70" s="503"/>
      <c r="AM70" s="503"/>
      <c r="AN70" s="503"/>
      <c r="AO70" s="503"/>
      <c r="AP70" s="503"/>
      <c r="AQ70" s="503"/>
      <c r="AR70" s="503"/>
      <c r="AS70" s="503"/>
      <c r="AT70" s="503"/>
      <c r="AU70" s="503"/>
      <c r="AV70" s="503"/>
      <c r="AW70" s="503"/>
      <c r="AX70" s="503"/>
      <c r="AY70" s="503"/>
      <c r="AZ70" s="503"/>
      <c r="BA70" s="503"/>
      <c r="BB70" s="503"/>
      <c r="BC70" s="503"/>
      <c r="BD70" s="503"/>
      <c r="BE70" s="503"/>
      <c r="BF70" s="503"/>
      <c r="BG70" s="503"/>
      <c r="BH70" s="503"/>
      <c r="BI70" s="503"/>
      <c r="BJ70" s="503"/>
      <c r="BK70" s="503"/>
      <c r="BL70" s="503"/>
      <c r="BM70" s="503"/>
      <c r="BN70" s="503"/>
      <c r="BO70" s="503"/>
      <c r="BP70" s="503"/>
      <c r="BQ70" s="503"/>
      <c r="BR70" s="503"/>
      <c r="BS70" s="503"/>
      <c r="BT70" s="503"/>
      <c r="BU70" s="503"/>
      <c r="BV70" s="503"/>
      <c r="BW70" s="503"/>
      <c r="BX70" s="503"/>
      <c r="BY70" s="503"/>
      <c r="BZ70" s="503"/>
      <c r="CA70" s="503"/>
      <c r="CB70" s="503"/>
      <c r="CC70" s="503"/>
      <c r="CD70" s="503"/>
      <c r="CE70" s="503"/>
    </row>
    <row r="71" spans="1:83" s="365" customFormat="1" ht="18" customHeight="1" x14ac:dyDescent="0.2">
      <c r="A71" s="503"/>
      <c r="B71" s="540" t="str">
        <f>B70</f>
        <v>Roofing</v>
      </c>
      <c r="C71" s="554" t="s">
        <v>890</v>
      </c>
      <c r="D71" s="555">
        <f>COUNTIFS(Rollup_PCA_notes!$L:$L,AUTO_NOTES!$B71,Rollup_PCA_notes!$F:$F,"X")</f>
        <v>0</v>
      </c>
      <c r="E71" s="548" t="e">
        <f t="shared" si="61"/>
        <v>#DIV/0!</v>
      </c>
      <c r="F71" s="556">
        <f>SUMIFS(Rollup_PCA_notes!$J:$J,Rollup_PCA_notes!$L:$L,AUTO_NOTES!$B71,Rollup_PCA_notes!$F:$F,"x")</f>
        <v>0</v>
      </c>
      <c r="G71" s="556">
        <f>SUMIFS(Rollup_PCA_notes!$N:$N,Rollup_PCA_notes!$L:$L,AUTO_NOTES!$B71,Rollup_PCA_notes!$F:$F,"x")</f>
        <v>0</v>
      </c>
      <c r="H71" s="868"/>
      <c r="I71" s="871"/>
      <c r="J71" s="874"/>
      <c r="K71" s="874"/>
      <c r="L71" s="871"/>
      <c r="M71" s="853"/>
      <c r="N71" s="856"/>
      <c r="O71" s="859"/>
      <c r="P71" s="859"/>
      <c r="Q71" s="862"/>
      <c r="R71" s="865"/>
      <c r="S71" s="503"/>
      <c r="T71" s="539"/>
      <c r="U71" s="503"/>
      <c r="V71" s="503"/>
      <c r="W71" s="503"/>
      <c r="X71" s="503"/>
      <c r="Y71" s="503"/>
      <c r="Z71" s="503"/>
      <c r="AA71" s="503"/>
      <c r="AB71" s="503"/>
      <c r="AC71" s="503"/>
      <c r="AD71" s="503"/>
      <c r="AE71" s="503"/>
      <c r="AF71" s="503"/>
      <c r="AG71" s="503"/>
      <c r="AH71" s="503"/>
      <c r="AI71" s="503"/>
      <c r="AJ71" s="503"/>
      <c r="AK71" s="503"/>
      <c r="AL71" s="503"/>
      <c r="AM71" s="503"/>
      <c r="AN71" s="503"/>
      <c r="AO71" s="503"/>
      <c r="AP71" s="503"/>
      <c r="AQ71" s="503"/>
      <c r="AR71" s="503"/>
      <c r="AS71" s="503"/>
      <c r="AT71" s="503"/>
      <c r="AU71" s="503"/>
      <c r="AV71" s="503"/>
      <c r="AW71" s="503"/>
      <c r="AX71" s="503"/>
      <c r="AY71" s="503"/>
      <c r="AZ71" s="503"/>
      <c r="BA71" s="503"/>
      <c r="BB71" s="503"/>
      <c r="BC71" s="503"/>
      <c r="BD71" s="503"/>
      <c r="BE71" s="503"/>
      <c r="BF71" s="503"/>
      <c r="BG71" s="503"/>
      <c r="BH71" s="503"/>
      <c r="BI71" s="503"/>
      <c r="BJ71" s="503"/>
      <c r="BK71" s="503"/>
      <c r="BL71" s="503"/>
      <c r="BM71" s="503"/>
      <c r="BN71" s="503"/>
      <c r="BO71" s="503"/>
      <c r="BP71" s="503"/>
      <c r="BQ71" s="503"/>
      <c r="BR71" s="503"/>
      <c r="BS71" s="503"/>
      <c r="BT71" s="503"/>
      <c r="BU71" s="503"/>
      <c r="BV71" s="503"/>
      <c r="BW71" s="503"/>
      <c r="BX71" s="503"/>
      <c r="BY71" s="503"/>
      <c r="BZ71" s="503"/>
      <c r="CA71" s="503"/>
      <c r="CB71" s="503"/>
      <c r="CC71" s="503"/>
      <c r="CD71" s="503"/>
      <c r="CE71" s="503"/>
    </row>
    <row r="72" spans="1:83" s="365" customFormat="1" ht="18" customHeight="1" x14ac:dyDescent="0.2">
      <c r="A72" s="503"/>
      <c r="B72" s="540" t="str">
        <f>B71</f>
        <v>Roofing</v>
      </c>
      <c r="C72" s="554" t="s">
        <v>45</v>
      </c>
      <c r="D72" s="555">
        <f>COUNTIFS(Rollup_PCA_notes!$L:$L,AUTO_NOTES!$B72,Rollup_PCA_notes!$G:$G,"X")</f>
        <v>0</v>
      </c>
      <c r="E72" s="548" t="e">
        <f t="shared" si="61"/>
        <v>#DIV/0!</v>
      </c>
      <c r="F72" s="556">
        <f>SUMIFS(Rollup_PCA_notes!$J:$J,Rollup_PCA_notes!$L:$L,AUTO_NOTES!$B72,Rollup_PCA_notes!$G:$G,"x")</f>
        <v>0</v>
      </c>
      <c r="G72" s="556">
        <f>SUMIFS(Rollup_PCA_notes!$N:$N,Rollup_PCA_notes!$L:$L,AUTO_NOTES!$B72,Rollup_PCA_notes!$G:$G,"x")</f>
        <v>0</v>
      </c>
      <c r="H72" s="868"/>
      <c r="I72" s="871"/>
      <c r="J72" s="874"/>
      <c r="K72" s="874"/>
      <c r="L72" s="871"/>
      <c r="M72" s="853"/>
      <c r="N72" s="856"/>
      <c r="O72" s="859"/>
      <c r="P72" s="859"/>
      <c r="Q72" s="862"/>
      <c r="R72" s="865"/>
      <c r="S72" s="503"/>
      <c r="T72" s="539"/>
      <c r="U72" s="503"/>
      <c r="V72" s="503"/>
      <c r="W72" s="503"/>
      <c r="X72" s="503"/>
      <c r="Y72" s="503"/>
      <c r="Z72" s="503"/>
      <c r="AA72" s="503"/>
      <c r="AB72" s="503"/>
      <c r="AC72" s="503"/>
      <c r="AD72" s="503"/>
      <c r="AE72" s="503"/>
      <c r="AF72" s="503"/>
      <c r="AG72" s="503"/>
      <c r="AH72" s="503"/>
      <c r="AI72" s="503"/>
      <c r="AJ72" s="503"/>
      <c r="AK72" s="503"/>
      <c r="AL72" s="503"/>
      <c r="AM72" s="503"/>
      <c r="AN72" s="503"/>
      <c r="AO72" s="503"/>
      <c r="AP72" s="503"/>
      <c r="AQ72" s="503"/>
      <c r="AR72" s="503"/>
      <c r="AS72" s="503"/>
      <c r="AT72" s="503"/>
      <c r="AU72" s="503"/>
      <c r="AV72" s="503"/>
      <c r="AW72" s="503"/>
      <c r="AX72" s="503"/>
      <c r="AY72" s="503"/>
      <c r="AZ72" s="503"/>
      <c r="BA72" s="503"/>
      <c r="BB72" s="503"/>
      <c r="BC72" s="503"/>
      <c r="BD72" s="503"/>
      <c r="BE72" s="503"/>
      <c r="BF72" s="503"/>
      <c r="BG72" s="503"/>
      <c r="BH72" s="503"/>
      <c r="BI72" s="503"/>
      <c r="BJ72" s="503"/>
      <c r="BK72" s="503"/>
      <c r="BL72" s="503"/>
      <c r="BM72" s="503"/>
      <c r="BN72" s="503"/>
      <c r="BO72" s="503"/>
      <c r="BP72" s="503"/>
      <c r="BQ72" s="503"/>
      <c r="BR72" s="503"/>
      <c r="BS72" s="503"/>
      <c r="BT72" s="503"/>
      <c r="BU72" s="503"/>
      <c r="BV72" s="503"/>
      <c r="BW72" s="503"/>
      <c r="BX72" s="503"/>
      <c r="BY72" s="503"/>
      <c r="BZ72" s="503"/>
      <c r="CA72" s="503"/>
      <c r="CB72" s="503"/>
      <c r="CC72" s="503"/>
      <c r="CD72" s="503"/>
      <c r="CE72" s="503"/>
    </row>
    <row r="73" spans="1:83" s="365" customFormat="1" ht="18" customHeight="1" thickBot="1" x14ac:dyDescent="0.25">
      <c r="A73" s="503"/>
      <c r="B73" s="541" t="str">
        <f>B72</f>
        <v>Roofing</v>
      </c>
      <c r="C73" s="557" t="s">
        <v>46</v>
      </c>
      <c r="D73" s="558">
        <f>COUNTIFS(Rollup_PCA_notes!$L:$L,AUTO_NOTES!$B73,Rollup_PCA_notes!$H:$H,"X")</f>
        <v>0</v>
      </c>
      <c r="E73" s="549" t="e">
        <f t="shared" si="61"/>
        <v>#DIV/0!</v>
      </c>
      <c r="F73" s="559">
        <f>SUMIFS(Rollup_PCA_notes!$J:$J,Rollup_PCA_notes!$L:$L,AUTO_NOTES!$B73,Rollup_PCA_notes!$H:$H,"x")</f>
        <v>0</v>
      </c>
      <c r="G73" s="559">
        <f>SUMIFS(Rollup_PCA_notes!$N:$N,Rollup_PCA_notes!$L:$L,AUTO_NOTES!$B73,Rollup_PCA_notes!$H:$H,"x")</f>
        <v>0</v>
      </c>
      <c r="H73" s="869"/>
      <c r="I73" s="872"/>
      <c r="J73" s="875"/>
      <c r="K73" s="875"/>
      <c r="L73" s="872"/>
      <c r="M73" s="854"/>
      <c r="N73" s="857"/>
      <c r="O73" s="860"/>
      <c r="P73" s="860"/>
      <c r="Q73" s="863"/>
      <c r="R73" s="866"/>
      <c r="S73" s="503"/>
      <c r="T73" s="539"/>
      <c r="U73" s="503"/>
      <c r="V73" s="503"/>
      <c r="W73" s="503"/>
      <c r="X73" s="503"/>
      <c r="Y73" s="503"/>
      <c r="Z73" s="503"/>
      <c r="AA73" s="503"/>
      <c r="AB73" s="503"/>
      <c r="AC73" s="503"/>
      <c r="AD73" s="503"/>
      <c r="AE73" s="503"/>
      <c r="AF73" s="503"/>
      <c r="AG73" s="503"/>
      <c r="AH73" s="503"/>
      <c r="AI73" s="503"/>
      <c r="AJ73" s="503"/>
      <c r="AK73" s="503"/>
      <c r="AL73" s="503"/>
      <c r="AM73" s="503"/>
      <c r="AN73" s="503"/>
      <c r="AO73" s="503"/>
      <c r="AP73" s="503"/>
      <c r="AQ73" s="503"/>
      <c r="AR73" s="503"/>
      <c r="AS73" s="503"/>
      <c r="AT73" s="503"/>
      <c r="AU73" s="503"/>
      <c r="AV73" s="503"/>
      <c r="AW73" s="503"/>
      <c r="AX73" s="503"/>
      <c r="AY73" s="503"/>
      <c r="AZ73" s="503"/>
      <c r="BA73" s="503"/>
      <c r="BB73" s="503"/>
      <c r="BC73" s="503"/>
      <c r="BD73" s="503"/>
      <c r="BE73" s="503"/>
      <c r="BF73" s="503"/>
      <c r="BG73" s="503"/>
      <c r="BH73" s="503"/>
      <c r="BI73" s="503"/>
      <c r="BJ73" s="503"/>
      <c r="BK73" s="503"/>
      <c r="BL73" s="503"/>
      <c r="BM73" s="503"/>
      <c r="BN73" s="503"/>
      <c r="BO73" s="503"/>
      <c r="BP73" s="503"/>
      <c r="BQ73" s="503"/>
      <c r="BR73" s="503"/>
      <c r="BS73" s="503"/>
      <c r="BT73" s="503"/>
      <c r="BU73" s="503"/>
      <c r="BV73" s="503"/>
      <c r="BW73" s="503"/>
      <c r="BX73" s="503"/>
      <c r="BY73" s="503"/>
      <c r="BZ73" s="503"/>
      <c r="CA73" s="503"/>
      <c r="CB73" s="503"/>
      <c r="CC73" s="503"/>
      <c r="CD73" s="503"/>
      <c r="CE73" s="503"/>
    </row>
    <row r="74" spans="1:83" s="365" customFormat="1" ht="18" customHeight="1" x14ac:dyDescent="0.2">
      <c r="A74" s="503"/>
      <c r="B74" s="538" t="s">
        <v>293</v>
      </c>
      <c r="C74" s="551" t="s">
        <v>41</v>
      </c>
      <c r="D74" s="552">
        <f>COUNTIFS(Rollup_PCA_notes!$L:$L,AUTO_NOTES!$B74,Rollup_PCA_notes!$C:$C,"X")</f>
        <v>0</v>
      </c>
      <c r="E74" s="547" t="e">
        <f t="shared" ref="E74:E79" si="67">D74/SUM(D$74:D$79)</f>
        <v>#DIV/0!</v>
      </c>
      <c r="F74" s="553">
        <f>SUMIFS(Rollup_PCA_notes!$J:$J,Rollup_PCA_notes!$L:$L,AUTO_NOTES!$B74,Rollup_PCA_notes!$C:$C,"x")</f>
        <v>0</v>
      </c>
      <c r="G74" s="553">
        <f>SUMIFS(Rollup_PCA_notes!$N:$N,Rollup_PCA_notes!$L:$L,AUTO_NOTES!$B74,Rollup_PCA_notes!$C:$C,"x")</f>
        <v>0</v>
      </c>
      <c r="H74" s="867">
        <f t="shared" ref="H74" si="68">IF(SUM(D77:D79)=0,0,(SUM(D77:D79)/SUM(D74:D79)))</f>
        <v>0</v>
      </c>
      <c r="I74" s="870" t="e">
        <f t="shared" ref="I74" si="69">SUM(F74:F79)/SUM(G74:G79)</f>
        <v>#DIV/0!</v>
      </c>
      <c r="J74" s="873" t="str">
        <f t="shared" ref="J74" si="70">IF(H74=0,"None",ROUNDDOWN((H74*100),0)&amp;"%")</f>
        <v>None</v>
      </c>
      <c r="K74" s="873" t="str">
        <f t="shared" ref="K74" si="71">IF(SUM(D75:D79)=0,"&lt;1%",IF(I74&lt;0.01,"&lt;1%",ROUNDDOWN((I74*100),0)&amp;"%"))</f>
        <v>&lt;1%</v>
      </c>
      <c r="L74" s="870" t="str">
        <f t="shared" ref="L74" si="72">IF(SUM(D75:D79)=0,"Green",IF(I74&gt;0.5,"Red",IF(I74&gt;0.01,"Yellow",IF(SUM(D76:D79)&gt;0,"Yellow","Green"))))</f>
        <v>Green</v>
      </c>
      <c r="M74" s="852" t="str">
        <f>IF(J74="None",$N74,$J74&amp;" "&amp;"of this system requires major renovation or replacement,"&amp;" "&amp;"including"&amp;" "&amp;$O74&amp;"  "&amp;"  "&amp;P74&amp;"  "&amp;"The cost to address identified needs is"&amp;" "&amp;$K74&amp;" "&amp;"of estimated cost to replace them, indicating"&amp;" "&amp;IF($L74="Red","need for systematic major renovations or replacements.",IF($L74="Yellow","need for significant renovations and potentially isolated replacements.",IF($L74="Green","need for regular maintenance and repairs.","error"))))</f>
        <v>None of this system requires major renovation or replacement.   The cost to address identified needs is  &lt;1% of estimated cost to replace them, indicating need for regular maintenance and repairs.</v>
      </c>
      <c r="N74" s="855" t="str">
        <f>$J74&amp;" "&amp;"of this system requires major renovation or replacement."&amp;" "&amp;" "&amp;P74&amp;" "&amp;"The cost to address identified needs is"&amp;"  "&amp;$K74&amp;" "&amp;"of estimated cost to replace them, indicating"&amp;" "&amp;IF($L74="Red","need for systematic major renovations or replacements.",IF($L74="Yellow","need for significant renovations and potentially isolated replacements.",IF($L74="Green","need for regular maintenance and repairs.","error")))</f>
        <v>None of this system requires major renovation or replacement.   The cost to address identified needs is  &lt;1% of estimated cost to replace them, indicating need for regular maintenance and repairs.</v>
      </c>
      <c r="O74" s="858" t="str" cm="1">
        <f t="array" ref="O74">_xlfn.TEXTJOIN(" ",TRUE,IF(Rollup_PCA_notes!$L:$L=AUTO_NOTES!$B74,Rollup_PCA_notes!$R:$R,""))</f>
        <v/>
      </c>
      <c r="P74" s="858" t="str" cm="1">
        <f t="array" ref="P74">_xlfn.TEXTJOIN(" ",TRUE,IF(Rollup_PCA_notes!$L:$L=AUTO_NOTES!$B74,Rollup_PCA_notes!$S:$S,""))</f>
        <v/>
      </c>
      <c r="Q74" s="861" t="str" cm="1">
        <f t="array" ref="Q74">_xlfn.TEXTJOIN(" ",TRUE,IF(Rollup_PCA_notes!$L:$L=AUTO_NOTES!$B74,Rollup_PCA_notes!$K:$K,""))</f>
        <v>0 0 0 0</v>
      </c>
      <c r="R74" s="864"/>
      <c r="S74" s="503"/>
      <c r="T74" s="539"/>
      <c r="U74" s="503"/>
      <c r="V74" s="503"/>
      <c r="W74" s="503"/>
      <c r="X74" s="503"/>
      <c r="Y74" s="503"/>
      <c r="Z74" s="503"/>
      <c r="AA74" s="503"/>
      <c r="AB74" s="503"/>
      <c r="AC74" s="503"/>
      <c r="AD74" s="503"/>
      <c r="AE74" s="503"/>
      <c r="AF74" s="503"/>
      <c r="AG74" s="503"/>
      <c r="AH74" s="503"/>
      <c r="AI74" s="503"/>
      <c r="AJ74" s="503"/>
      <c r="AK74" s="503"/>
      <c r="AL74" s="503"/>
      <c r="AM74" s="503"/>
      <c r="AN74" s="503"/>
      <c r="AO74" s="503"/>
      <c r="AP74" s="503"/>
      <c r="AQ74" s="503"/>
      <c r="AR74" s="503"/>
      <c r="AS74" s="503"/>
      <c r="AT74" s="503"/>
      <c r="AU74" s="503"/>
      <c r="AV74" s="503"/>
      <c r="AW74" s="503"/>
      <c r="AX74" s="503"/>
      <c r="AY74" s="503"/>
      <c r="AZ74" s="503"/>
      <c r="BA74" s="503"/>
      <c r="BB74" s="503"/>
      <c r="BC74" s="503"/>
      <c r="BD74" s="503"/>
      <c r="BE74" s="503"/>
      <c r="BF74" s="503"/>
      <c r="BG74" s="503"/>
      <c r="BH74" s="503"/>
      <c r="BI74" s="503"/>
      <c r="BJ74" s="503"/>
      <c r="BK74" s="503"/>
      <c r="BL74" s="503"/>
      <c r="BM74" s="503"/>
      <c r="BN74" s="503"/>
      <c r="BO74" s="503"/>
      <c r="BP74" s="503"/>
      <c r="BQ74" s="503"/>
      <c r="BR74" s="503"/>
      <c r="BS74" s="503"/>
      <c r="BT74" s="503"/>
      <c r="BU74" s="503"/>
      <c r="BV74" s="503"/>
      <c r="BW74" s="503"/>
      <c r="BX74" s="503"/>
      <c r="BY74" s="503"/>
      <c r="BZ74" s="503"/>
      <c r="CA74" s="503"/>
      <c r="CB74" s="503"/>
      <c r="CC74" s="503"/>
      <c r="CD74" s="503"/>
      <c r="CE74" s="503"/>
    </row>
    <row r="75" spans="1:83" s="365" customFormat="1" ht="18" customHeight="1" x14ac:dyDescent="0.2">
      <c r="A75" s="503"/>
      <c r="B75" s="540" t="str">
        <f>B74</f>
        <v>Safety/Security</v>
      </c>
      <c r="C75" s="554" t="s">
        <v>889</v>
      </c>
      <c r="D75" s="555">
        <f>COUNTIFS(Rollup_PCA_notes!$L:$L,AUTO_NOTES!$B75,Rollup_PCA_notes!$D:$D,"X")</f>
        <v>0</v>
      </c>
      <c r="E75" s="548" t="e">
        <f t="shared" si="67"/>
        <v>#DIV/0!</v>
      </c>
      <c r="F75" s="556">
        <f>SUMIFS(Rollup_PCA_notes!$J:$J,Rollup_PCA_notes!$L:$L,AUTO_NOTES!$B75,Rollup_PCA_notes!$D:$D,"x")</f>
        <v>0</v>
      </c>
      <c r="G75" s="556">
        <f>SUMIFS(Rollup_PCA_notes!$N:$N,Rollup_PCA_notes!$L:$L,AUTO_NOTES!$B75,Rollup_PCA_notes!$D:$D,"x")</f>
        <v>0</v>
      </c>
      <c r="H75" s="868"/>
      <c r="I75" s="871"/>
      <c r="J75" s="874"/>
      <c r="K75" s="874"/>
      <c r="L75" s="871"/>
      <c r="M75" s="853"/>
      <c r="N75" s="856"/>
      <c r="O75" s="859"/>
      <c r="P75" s="859"/>
      <c r="Q75" s="862"/>
      <c r="R75" s="865"/>
      <c r="S75" s="503"/>
      <c r="T75" s="539"/>
      <c r="U75" s="503"/>
      <c r="V75" s="503"/>
      <c r="W75" s="503"/>
      <c r="X75" s="503"/>
      <c r="Y75" s="503"/>
      <c r="Z75" s="503"/>
      <c r="AA75" s="503"/>
      <c r="AB75" s="503"/>
      <c r="AC75" s="503"/>
      <c r="AD75" s="503"/>
      <c r="AE75" s="503"/>
      <c r="AF75" s="503"/>
      <c r="AG75" s="503"/>
      <c r="AH75" s="503"/>
      <c r="AI75" s="503"/>
      <c r="AJ75" s="503"/>
      <c r="AK75" s="503"/>
      <c r="AL75" s="503"/>
      <c r="AM75" s="503"/>
      <c r="AN75" s="503"/>
      <c r="AO75" s="503"/>
      <c r="AP75" s="503"/>
      <c r="AQ75" s="503"/>
      <c r="AR75" s="503"/>
      <c r="AS75" s="503"/>
      <c r="AT75" s="503"/>
      <c r="AU75" s="503"/>
      <c r="AV75" s="503"/>
      <c r="AW75" s="503"/>
      <c r="AX75" s="503"/>
      <c r="AY75" s="503"/>
      <c r="AZ75" s="503"/>
      <c r="BA75" s="503"/>
      <c r="BB75" s="503"/>
      <c r="BC75" s="503"/>
      <c r="BD75" s="503"/>
      <c r="BE75" s="503"/>
      <c r="BF75" s="503"/>
      <c r="BG75" s="503"/>
      <c r="BH75" s="503"/>
      <c r="BI75" s="503"/>
      <c r="BJ75" s="503"/>
      <c r="BK75" s="503"/>
      <c r="BL75" s="503"/>
      <c r="BM75" s="503"/>
      <c r="BN75" s="503"/>
      <c r="BO75" s="503"/>
      <c r="BP75" s="503"/>
      <c r="BQ75" s="503"/>
      <c r="BR75" s="503"/>
      <c r="BS75" s="503"/>
      <c r="BT75" s="503"/>
      <c r="BU75" s="503"/>
      <c r="BV75" s="503"/>
      <c r="BW75" s="503"/>
      <c r="BX75" s="503"/>
      <c r="BY75" s="503"/>
      <c r="BZ75" s="503"/>
      <c r="CA75" s="503"/>
      <c r="CB75" s="503"/>
      <c r="CC75" s="503"/>
      <c r="CD75" s="503"/>
      <c r="CE75" s="503"/>
    </row>
    <row r="76" spans="1:83" s="365" customFormat="1" ht="18" customHeight="1" x14ac:dyDescent="0.2">
      <c r="A76" s="503"/>
      <c r="B76" s="540" t="str">
        <f>B75</f>
        <v>Safety/Security</v>
      </c>
      <c r="C76" s="554" t="s">
        <v>43</v>
      </c>
      <c r="D76" s="555">
        <f>COUNTIFS(Rollup_PCA_notes!$L:$L,AUTO_NOTES!$B76,Rollup_PCA_notes!$E:$E,"X")</f>
        <v>0</v>
      </c>
      <c r="E76" s="548" t="e">
        <f t="shared" si="67"/>
        <v>#DIV/0!</v>
      </c>
      <c r="F76" s="556">
        <f>SUMIFS(Rollup_PCA_notes!$J:$J,Rollup_PCA_notes!$L:$L,AUTO_NOTES!$B76,Rollup_PCA_notes!$E:$E,"x")</f>
        <v>0</v>
      </c>
      <c r="G76" s="556">
        <f>SUMIFS(Rollup_PCA_notes!$N:$N,Rollup_PCA_notes!$L:$L,AUTO_NOTES!$B76,Rollup_PCA_notes!$E:$E,"x")</f>
        <v>0</v>
      </c>
      <c r="H76" s="868"/>
      <c r="I76" s="871"/>
      <c r="J76" s="874"/>
      <c r="K76" s="874"/>
      <c r="L76" s="871"/>
      <c r="M76" s="853"/>
      <c r="N76" s="856"/>
      <c r="O76" s="859"/>
      <c r="P76" s="859"/>
      <c r="Q76" s="862"/>
      <c r="R76" s="865"/>
      <c r="S76" s="503"/>
      <c r="T76" s="539"/>
      <c r="U76" s="503"/>
      <c r="V76" s="503"/>
      <c r="W76" s="503"/>
      <c r="X76" s="503"/>
      <c r="Y76" s="503"/>
      <c r="Z76" s="503"/>
      <c r="AA76" s="503"/>
      <c r="AB76" s="503"/>
      <c r="AC76" s="503"/>
      <c r="AD76" s="503"/>
      <c r="AE76" s="503"/>
      <c r="AF76" s="503"/>
      <c r="AG76" s="503"/>
      <c r="AH76" s="503"/>
      <c r="AI76" s="503"/>
      <c r="AJ76" s="503"/>
      <c r="AK76" s="503"/>
      <c r="AL76" s="503"/>
      <c r="AM76" s="503"/>
      <c r="AN76" s="503"/>
      <c r="AO76" s="503"/>
      <c r="AP76" s="503"/>
      <c r="AQ76" s="503"/>
      <c r="AR76" s="503"/>
      <c r="AS76" s="503"/>
      <c r="AT76" s="503"/>
      <c r="AU76" s="503"/>
      <c r="AV76" s="503"/>
      <c r="AW76" s="503"/>
      <c r="AX76" s="503"/>
      <c r="AY76" s="503"/>
      <c r="AZ76" s="503"/>
      <c r="BA76" s="503"/>
      <c r="BB76" s="503"/>
      <c r="BC76" s="503"/>
      <c r="BD76" s="503"/>
      <c r="BE76" s="503"/>
      <c r="BF76" s="503"/>
      <c r="BG76" s="503"/>
      <c r="BH76" s="503"/>
      <c r="BI76" s="503"/>
      <c r="BJ76" s="503"/>
      <c r="BK76" s="503"/>
      <c r="BL76" s="503"/>
      <c r="BM76" s="503"/>
      <c r="BN76" s="503"/>
      <c r="BO76" s="503"/>
      <c r="BP76" s="503"/>
      <c r="BQ76" s="503"/>
      <c r="BR76" s="503"/>
      <c r="BS76" s="503"/>
      <c r="BT76" s="503"/>
      <c r="BU76" s="503"/>
      <c r="BV76" s="503"/>
      <c r="BW76" s="503"/>
      <c r="BX76" s="503"/>
      <c r="BY76" s="503"/>
      <c r="BZ76" s="503"/>
      <c r="CA76" s="503"/>
      <c r="CB76" s="503"/>
      <c r="CC76" s="503"/>
      <c r="CD76" s="503"/>
      <c r="CE76" s="503"/>
    </row>
    <row r="77" spans="1:83" s="365" customFormat="1" ht="18" customHeight="1" x14ac:dyDescent="0.2">
      <c r="A77" s="503"/>
      <c r="B77" s="540" t="str">
        <f>B76</f>
        <v>Safety/Security</v>
      </c>
      <c r="C77" s="554" t="s">
        <v>890</v>
      </c>
      <c r="D77" s="555">
        <f>COUNTIFS(Rollup_PCA_notes!$L:$L,AUTO_NOTES!$B77,Rollup_PCA_notes!$F:$F,"X")</f>
        <v>0</v>
      </c>
      <c r="E77" s="548" t="e">
        <f t="shared" si="67"/>
        <v>#DIV/0!</v>
      </c>
      <c r="F77" s="556">
        <f>SUMIFS(Rollup_PCA_notes!$J:$J,Rollup_PCA_notes!$L:$L,AUTO_NOTES!$B77,Rollup_PCA_notes!$F:$F,"x")</f>
        <v>0</v>
      </c>
      <c r="G77" s="556">
        <f>SUMIFS(Rollup_PCA_notes!$N:$N,Rollup_PCA_notes!$L:$L,AUTO_NOTES!$B77,Rollup_PCA_notes!$F:$F,"x")</f>
        <v>0</v>
      </c>
      <c r="H77" s="868"/>
      <c r="I77" s="871"/>
      <c r="J77" s="874"/>
      <c r="K77" s="874"/>
      <c r="L77" s="871"/>
      <c r="M77" s="853"/>
      <c r="N77" s="856"/>
      <c r="O77" s="859"/>
      <c r="P77" s="859"/>
      <c r="Q77" s="862"/>
      <c r="R77" s="865"/>
      <c r="S77" s="503"/>
      <c r="T77" s="539"/>
      <c r="U77" s="503"/>
      <c r="V77" s="503"/>
      <c r="W77" s="503"/>
      <c r="X77" s="503"/>
      <c r="Y77" s="503"/>
      <c r="Z77" s="503"/>
      <c r="AA77" s="503"/>
      <c r="AB77" s="503"/>
      <c r="AC77" s="503"/>
      <c r="AD77" s="503"/>
      <c r="AE77" s="503"/>
      <c r="AF77" s="503"/>
      <c r="AG77" s="503"/>
      <c r="AH77" s="503"/>
      <c r="AI77" s="503"/>
      <c r="AJ77" s="503"/>
      <c r="AK77" s="503"/>
      <c r="AL77" s="503"/>
      <c r="AM77" s="503"/>
      <c r="AN77" s="503"/>
      <c r="AO77" s="503"/>
      <c r="AP77" s="503"/>
      <c r="AQ77" s="503"/>
      <c r="AR77" s="503"/>
      <c r="AS77" s="503"/>
      <c r="AT77" s="503"/>
      <c r="AU77" s="503"/>
      <c r="AV77" s="503"/>
      <c r="AW77" s="503"/>
      <c r="AX77" s="503"/>
      <c r="AY77" s="503"/>
      <c r="AZ77" s="503"/>
      <c r="BA77" s="503"/>
      <c r="BB77" s="503"/>
      <c r="BC77" s="503"/>
      <c r="BD77" s="503"/>
      <c r="BE77" s="503"/>
      <c r="BF77" s="503"/>
      <c r="BG77" s="503"/>
      <c r="BH77" s="503"/>
      <c r="BI77" s="503"/>
      <c r="BJ77" s="503"/>
      <c r="BK77" s="503"/>
      <c r="BL77" s="503"/>
      <c r="BM77" s="503"/>
      <c r="BN77" s="503"/>
      <c r="BO77" s="503"/>
      <c r="BP77" s="503"/>
      <c r="BQ77" s="503"/>
      <c r="BR77" s="503"/>
      <c r="BS77" s="503"/>
      <c r="BT77" s="503"/>
      <c r="BU77" s="503"/>
      <c r="BV77" s="503"/>
      <c r="BW77" s="503"/>
      <c r="BX77" s="503"/>
      <c r="BY77" s="503"/>
      <c r="BZ77" s="503"/>
      <c r="CA77" s="503"/>
      <c r="CB77" s="503"/>
      <c r="CC77" s="503"/>
      <c r="CD77" s="503"/>
      <c r="CE77" s="503"/>
    </row>
    <row r="78" spans="1:83" s="365" customFormat="1" ht="18" customHeight="1" x14ac:dyDescent="0.2">
      <c r="A78" s="503"/>
      <c r="B78" s="540" t="str">
        <f>B77</f>
        <v>Safety/Security</v>
      </c>
      <c r="C78" s="554" t="s">
        <v>45</v>
      </c>
      <c r="D78" s="555">
        <f>COUNTIFS(Rollup_PCA_notes!$L:$L,AUTO_NOTES!$B78,Rollup_PCA_notes!$G:$G,"X")</f>
        <v>0</v>
      </c>
      <c r="E78" s="548" t="e">
        <f t="shared" si="67"/>
        <v>#DIV/0!</v>
      </c>
      <c r="F78" s="556">
        <f>SUMIFS(Rollup_PCA_notes!$J:$J,Rollup_PCA_notes!$L:$L,AUTO_NOTES!$B78,Rollup_PCA_notes!$G:$G,"x")</f>
        <v>0</v>
      </c>
      <c r="G78" s="556">
        <f>SUMIFS(Rollup_PCA_notes!$N:$N,Rollup_PCA_notes!$L:$L,AUTO_NOTES!$B78,Rollup_PCA_notes!$G:$G,"x")</f>
        <v>0</v>
      </c>
      <c r="H78" s="868"/>
      <c r="I78" s="871"/>
      <c r="J78" s="874"/>
      <c r="K78" s="874"/>
      <c r="L78" s="871"/>
      <c r="M78" s="853"/>
      <c r="N78" s="856"/>
      <c r="O78" s="859"/>
      <c r="P78" s="859"/>
      <c r="Q78" s="862"/>
      <c r="R78" s="865"/>
      <c r="S78" s="503"/>
      <c r="T78" s="539"/>
      <c r="U78" s="503"/>
      <c r="V78" s="503"/>
      <c r="W78" s="503"/>
      <c r="X78" s="503"/>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3"/>
      <c r="AY78" s="503"/>
      <c r="AZ78" s="503"/>
      <c r="BA78" s="503"/>
      <c r="BB78" s="503"/>
      <c r="BC78" s="503"/>
      <c r="BD78" s="503"/>
      <c r="BE78" s="503"/>
      <c r="BF78" s="503"/>
      <c r="BG78" s="503"/>
      <c r="BH78" s="503"/>
      <c r="BI78" s="503"/>
      <c r="BJ78" s="503"/>
      <c r="BK78" s="503"/>
      <c r="BL78" s="503"/>
      <c r="BM78" s="503"/>
      <c r="BN78" s="503"/>
      <c r="BO78" s="503"/>
      <c r="BP78" s="503"/>
      <c r="BQ78" s="503"/>
      <c r="BR78" s="503"/>
      <c r="BS78" s="503"/>
      <c r="BT78" s="503"/>
      <c r="BU78" s="503"/>
      <c r="BV78" s="503"/>
      <c r="BW78" s="503"/>
      <c r="BX78" s="503"/>
      <c r="BY78" s="503"/>
      <c r="BZ78" s="503"/>
      <c r="CA78" s="503"/>
      <c r="CB78" s="503"/>
      <c r="CC78" s="503"/>
      <c r="CD78" s="503"/>
      <c r="CE78" s="503"/>
    </row>
    <row r="79" spans="1:83" s="365" customFormat="1" ht="18" customHeight="1" thickBot="1" x14ac:dyDescent="0.25">
      <c r="A79" s="503"/>
      <c r="B79" s="541" t="str">
        <f>B78</f>
        <v>Safety/Security</v>
      </c>
      <c r="C79" s="557" t="s">
        <v>46</v>
      </c>
      <c r="D79" s="558">
        <f>COUNTIFS(Rollup_PCA_notes!$L:$L,AUTO_NOTES!$B79,Rollup_PCA_notes!$H:$H,"X")</f>
        <v>0</v>
      </c>
      <c r="E79" s="549" t="e">
        <f t="shared" si="67"/>
        <v>#DIV/0!</v>
      </c>
      <c r="F79" s="559">
        <f>SUMIFS(Rollup_PCA_notes!$J:$J,Rollup_PCA_notes!$L:$L,AUTO_NOTES!$B79,Rollup_PCA_notes!$H:$H,"x")</f>
        <v>0</v>
      </c>
      <c r="G79" s="559">
        <f>SUMIFS(Rollup_PCA_notes!$N:$N,Rollup_PCA_notes!$L:$L,AUTO_NOTES!$B79,Rollup_PCA_notes!$H:$H,"x")</f>
        <v>0</v>
      </c>
      <c r="H79" s="869"/>
      <c r="I79" s="872"/>
      <c r="J79" s="875"/>
      <c r="K79" s="875"/>
      <c r="L79" s="872"/>
      <c r="M79" s="854"/>
      <c r="N79" s="857"/>
      <c r="O79" s="860"/>
      <c r="P79" s="860"/>
      <c r="Q79" s="863"/>
      <c r="R79" s="866"/>
      <c r="S79" s="503"/>
      <c r="T79" s="539"/>
      <c r="U79" s="503"/>
      <c r="V79" s="503"/>
      <c r="W79" s="503"/>
      <c r="X79" s="503"/>
      <c r="Y79" s="503"/>
      <c r="Z79" s="503"/>
      <c r="AA79" s="503"/>
      <c r="AB79" s="503"/>
      <c r="AC79" s="503"/>
      <c r="AD79" s="503"/>
      <c r="AE79" s="503"/>
      <c r="AF79" s="503"/>
      <c r="AG79" s="503"/>
      <c r="AH79" s="503"/>
      <c r="AI79" s="503"/>
      <c r="AJ79" s="503"/>
      <c r="AK79" s="503"/>
      <c r="AL79" s="503"/>
      <c r="AM79" s="503"/>
      <c r="AN79" s="503"/>
      <c r="AO79" s="503"/>
      <c r="AP79" s="503"/>
      <c r="AQ79" s="503"/>
      <c r="AR79" s="503"/>
      <c r="AS79" s="503"/>
      <c r="AT79" s="503"/>
      <c r="AU79" s="503"/>
      <c r="AV79" s="503"/>
      <c r="AW79" s="503"/>
      <c r="AX79" s="503"/>
      <c r="AY79" s="503"/>
      <c r="AZ79" s="503"/>
      <c r="BA79" s="503"/>
      <c r="BB79" s="503"/>
      <c r="BC79" s="503"/>
      <c r="BD79" s="503"/>
      <c r="BE79" s="503"/>
      <c r="BF79" s="503"/>
      <c r="BG79" s="503"/>
      <c r="BH79" s="503"/>
      <c r="BI79" s="503"/>
      <c r="BJ79" s="503"/>
      <c r="BK79" s="503"/>
      <c r="BL79" s="503"/>
      <c r="BM79" s="503"/>
      <c r="BN79" s="503"/>
      <c r="BO79" s="503"/>
      <c r="BP79" s="503"/>
      <c r="BQ79" s="503"/>
      <c r="BR79" s="503"/>
      <c r="BS79" s="503"/>
      <c r="BT79" s="503"/>
      <c r="BU79" s="503"/>
      <c r="BV79" s="503"/>
      <c r="BW79" s="503"/>
      <c r="BX79" s="503"/>
      <c r="BY79" s="503"/>
      <c r="BZ79" s="503"/>
      <c r="CA79" s="503"/>
      <c r="CB79" s="503"/>
      <c r="CC79" s="503"/>
      <c r="CD79" s="503"/>
      <c r="CE79" s="503"/>
    </row>
    <row r="80" spans="1:83" s="365" customFormat="1" ht="18" customHeight="1" x14ac:dyDescent="0.2">
      <c r="A80" s="503"/>
      <c r="B80" s="538" t="s">
        <v>358</v>
      </c>
      <c r="C80" s="551" t="s">
        <v>41</v>
      </c>
      <c r="D80" s="552">
        <f>COUNTIFS(Rollup_PCA_notes!$L:$L,AUTO_NOTES!$B80,Rollup_PCA_notes!$C:$C,"X")</f>
        <v>0</v>
      </c>
      <c r="E80" s="547" t="e">
        <f t="shared" ref="E80:E85" si="73">D80/SUM(D$80:D$85)</f>
        <v>#DIV/0!</v>
      </c>
      <c r="F80" s="553">
        <f>SUMIFS(Rollup_PCA_notes!$J:$J,Rollup_PCA_notes!$L:$L,AUTO_NOTES!$B80,Rollup_PCA_notes!$C:$C,"x")</f>
        <v>0</v>
      </c>
      <c r="G80" s="553">
        <f>SUMIFS(Rollup_PCA_notes!$N:$N,Rollup_PCA_notes!$L:$L,AUTO_NOTES!$B80,Rollup_PCA_notes!$C:$C,"x")</f>
        <v>0</v>
      </c>
      <c r="H80" s="867">
        <f t="shared" ref="H80" si="74">IF(SUM(D83:D85)=0,0,(SUM(D83:D85)/SUM(D80:D85)))</f>
        <v>0</v>
      </c>
      <c r="I80" s="870" t="e">
        <f t="shared" ref="I80" si="75">SUM(F80:F85)/SUM(G80:G85)</f>
        <v>#DIV/0!</v>
      </c>
      <c r="J80" s="873" t="str">
        <f t="shared" ref="J80" si="76">IF(H80=0,"None",ROUNDDOWN((H80*100),0)&amp;"%")</f>
        <v>None</v>
      </c>
      <c r="K80" s="873" t="str">
        <f t="shared" ref="K80" si="77">IF(SUM(D81:D85)=0,"&lt;1%",IF(I80&lt;0.01,"&lt;1%",ROUNDDOWN((I80*100),0)&amp;"%"))</f>
        <v>&lt;1%</v>
      </c>
      <c r="L80" s="870" t="str">
        <f t="shared" ref="L80" si="78">IF(SUM(D81:D85)=0,"Green",IF(I80&gt;0.5,"Red",IF(I80&gt;0.01,"Yellow",IF(SUM(D82:D85)&gt;0,"Yellow","Green"))))</f>
        <v>Green</v>
      </c>
      <c r="M80" s="852" t="str">
        <f>IF(J80="None",$N80,$J80&amp;" "&amp;"of this system requires major renovation or replacement,"&amp;" "&amp;"including"&amp;" "&amp;$O80&amp;"  "&amp;"  "&amp;P80&amp;"  "&amp;"The cost to address identified needs is"&amp;" "&amp;$K80&amp;" "&amp;"of estimated cost to replace them, indicating"&amp;" "&amp;IF($L80="Red","need for systematic major renovations or replacements.",IF($L80="Yellow","need for significant renovations and potentially isolated replacements.",IF($L80="Green","need for regular maintenance and repairs.","error"))))</f>
        <v>None of this system requires major renovation or replacement.   The cost to address identified needs is  &lt;1% of estimated cost to replace them, indicating need for regular maintenance and repairs.</v>
      </c>
      <c r="N80" s="855" t="str">
        <f>$J80&amp;" "&amp;"of this system requires major renovation or replacement."&amp;" "&amp;" "&amp;P80&amp;" "&amp;"The cost to address identified needs is"&amp;"  "&amp;$K80&amp;" "&amp;"of estimated cost to replace them, indicating"&amp;" "&amp;IF($L80="Red","need for systematic major renovations or replacements.",IF($L80="Yellow","need for significant renovations and potentially isolated replacements.",IF($L80="Green","need for regular maintenance and repairs.","error")))</f>
        <v>None of this system requires major renovation or replacement.   The cost to address identified needs is  &lt;1% of estimated cost to replace them, indicating need for regular maintenance and repairs.</v>
      </c>
      <c r="O80" s="858" t="str" cm="1">
        <f t="array" ref="O80">_xlfn.TEXTJOIN(" ",TRUE,IF(Rollup_PCA_notes!$L:$L=AUTO_NOTES!$B80,Rollup_PCA_notes!$R:$R,""))</f>
        <v/>
      </c>
      <c r="P80" s="858" t="str" cm="1">
        <f t="array" ref="P80">_xlfn.TEXTJOIN(" ",TRUE,IF(Rollup_PCA_notes!$L:$L=AUTO_NOTES!$B80,Rollup_PCA_notes!$S:$S,""))</f>
        <v/>
      </c>
      <c r="Q80" s="861" t="str" cm="1">
        <f t="array" ref="Q80">_xlfn.TEXTJOIN(" ",TRUE,IF(Rollup_PCA_notes!$L:$L=AUTO_NOTES!$B80,Rollup_PCA_notes!$K:$K,""))</f>
        <v>0 0</v>
      </c>
      <c r="R80" s="864"/>
      <c r="S80" s="503"/>
      <c r="T80" s="539"/>
      <c r="U80" s="503"/>
      <c r="V80" s="503"/>
      <c r="W80" s="503"/>
      <c r="X80" s="503"/>
      <c r="Y80" s="503"/>
      <c r="Z80" s="503"/>
      <c r="AA80" s="503"/>
      <c r="AB80" s="503"/>
      <c r="AC80" s="503"/>
      <c r="AD80" s="503"/>
      <c r="AE80" s="503"/>
      <c r="AF80" s="503"/>
      <c r="AG80" s="503"/>
      <c r="AH80" s="503"/>
      <c r="AI80" s="503"/>
      <c r="AJ80" s="503"/>
      <c r="AK80" s="503"/>
      <c r="AL80" s="503"/>
      <c r="AM80" s="503"/>
      <c r="AN80" s="503"/>
      <c r="AO80" s="503"/>
      <c r="AP80" s="503"/>
      <c r="AQ80" s="503"/>
      <c r="AR80" s="503"/>
      <c r="AS80" s="503"/>
      <c r="AT80" s="503"/>
      <c r="AU80" s="503"/>
      <c r="AV80" s="503"/>
      <c r="AW80" s="503"/>
      <c r="AX80" s="503"/>
      <c r="AY80" s="503"/>
      <c r="AZ80" s="503"/>
      <c r="BA80" s="503"/>
      <c r="BB80" s="503"/>
      <c r="BC80" s="503"/>
      <c r="BD80" s="503"/>
      <c r="BE80" s="503"/>
      <c r="BF80" s="503"/>
      <c r="BG80" s="503"/>
      <c r="BH80" s="503"/>
      <c r="BI80" s="503"/>
      <c r="BJ80" s="503"/>
      <c r="BK80" s="503"/>
      <c r="BL80" s="503"/>
      <c r="BM80" s="503"/>
      <c r="BN80" s="503"/>
      <c r="BO80" s="503"/>
      <c r="BP80" s="503"/>
      <c r="BQ80" s="503"/>
      <c r="BR80" s="503"/>
      <c r="BS80" s="503"/>
      <c r="BT80" s="503"/>
      <c r="BU80" s="503"/>
      <c r="BV80" s="503"/>
      <c r="BW80" s="503"/>
      <c r="BX80" s="503"/>
      <c r="BY80" s="503"/>
      <c r="BZ80" s="503"/>
      <c r="CA80" s="503"/>
      <c r="CB80" s="503"/>
      <c r="CC80" s="503"/>
      <c r="CD80" s="503"/>
      <c r="CE80" s="503"/>
    </row>
    <row r="81" spans="1:83" s="365" customFormat="1" ht="18" customHeight="1" x14ac:dyDescent="0.2">
      <c r="A81" s="503"/>
      <c r="B81" s="540" t="str">
        <f>B80</f>
        <v>Site</v>
      </c>
      <c r="C81" s="554" t="s">
        <v>889</v>
      </c>
      <c r="D81" s="555">
        <f>COUNTIFS(Rollup_PCA_notes!$L:$L,AUTO_NOTES!$B81,Rollup_PCA_notes!$D:$D,"X")</f>
        <v>0</v>
      </c>
      <c r="E81" s="548" t="e">
        <f t="shared" si="73"/>
        <v>#DIV/0!</v>
      </c>
      <c r="F81" s="556">
        <f>SUMIFS(Rollup_PCA_notes!$J:$J,Rollup_PCA_notes!$L:$L,AUTO_NOTES!$B81,Rollup_PCA_notes!$D:$D,"x")</f>
        <v>0</v>
      </c>
      <c r="G81" s="556">
        <f>SUMIFS(Rollup_PCA_notes!$N:$N,Rollup_PCA_notes!$L:$L,AUTO_NOTES!$B81,Rollup_PCA_notes!$D:$D,"x")</f>
        <v>0</v>
      </c>
      <c r="H81" s="868"/>
      <c r="I81" s="871"/>
      <c r="J81" s="874"/>
      <c r="K81" s="874"/>
      <c r="L81" s="871"/>
      <c r="M81" s="853"/>
      <c r="N81" s="856"/>
      <c r="O81" s="859"/>
      <c r="P81" s="859"/>
      <c r="Q81" s="862"/>
      <c r="R81" s="865"/>
      <c r="S81" s="503"/>
      <c r="T81" s="539"/>
      <c r="U81" s="503"/>
      <c r="V81" s="503"/>
      <c r="W81" s="503"/>
      <c r="X81" s="503"/>
      <c r="Y81" s="503"/>
      <c r="Z81" s="503"/>
      <c r="AA81" s="503"/>
      <c r="AB81" s="503"/>
      <c r="AC81" s="503"/>
      <c r="AD81" s="503"/>
      <c r="AE81" s="503"/>
      <c r="AF81" s="503"/>
      <c r="AG81" s="503"/>
      <c r="AH81" s="503"/>
      <c r="AI81" s="503"/>
      <c r="AJ81" s="503"/>
      <c r="AK81" s="503"/>
      <c r="AL81" s="503"/>
      <c r="AM81" s="503"/>
      <c r="AN81" s="503"/>
      <c r="AO81" s="503"/>
      <c r="AP81" s="503"/>
      <c r="AQ81" s="503"/>
      <c r="AR81" s="503"/>
      <c r="AS81" s="503"/>
      <c r="AT81" s="503"/>
      <c r="AU81" s="503"/>
      <c r="AV81" s="503"/>
      <c r="AW81" s="503"/>
      <c r="AX81" s="503"/>
      <c r="AY81" s="503"/>
      <c r="AZ81" s="503"/>
      <c r="BA81" s="503"/>
      <c r="BB81" s="503"/>
      <c r="BC81" s="503"/>
      <c r="BD81" s="503"/>
      <c r="BE81" s="503"/>
      <c r="BF81" s="503"/>
      <c r="BG81" s="503"/>
      <c r="BH81" s="503"/>
      <c r="BI81" s="503"/>
      <c r="BJ81" s="503"/>
      <c r="BK81" s="503"/>
      <c r="BL81" s="503"/>
      <c r="BM81" s="503"/>
      <c r="BN81" s="503"/>
      <c r="BO81" s="503"/>
      <c r="BP81" s="503"/>
      <c r="BQ81" s="503"/>
      <c r="BR81" s="503"/>
      <c r="BS81" s="503"/>
      <c r="BT81" s="503"/>
      <c r="BU81" s="503"/>
      <c r="BV81" s="503"/>
      <c r="BW81" s="503"/>
      <c r="BX81" s="503"/>
      <c r="BY81" s="503"/>
      <c r="BZ81" s="503"/>
      <c r="CA81" s="503"/>
      <c r="CB81" s="503"/>
      <c r="CC81" s="503"/>
      <c r="CD81" s="503"/>
      <c r="CE81" s="503"/>
    </row>
    <row r="82" spans="1:83" s="365" customFormat="1" ht="18" customHeight="1" x14ac:dyDescent="0.2">
      <c r="A82" s="503"/>
      <c r="B82" s="540" t="str">
        <f>B81</f>
        <v>Site</v>
      </c>
      <c r="C82" s="554" t="s">
        <v>43</v>
      </c>
      <c r="D82" s="555">
        <f>COUNTIFS(Rollup_PCA_notes!$L:$L,AUTO_NOTES!$B82,Rollup_PCA_notes!$E:$E,"X")</f>
        <v>0</v>
      </c>
      <c r="E82" s="548" t="e">
        <f t="shared" si="73"/>
        <v>#DIV/0!</v>
      </c>
      <c r="F82" s="556">
        <f>SUMIFS(Rollup_PCA_notes!$J:$J,Rollup_PCA_notes!$L:$L,AUTO_NOTES!$B82,Rollup_PCA_notes!$E:$E,"x")</f>
        <v>0</v>
      </c>
      <c r="G82" s="556">
        <f>SUMIFS(Rollup_PCA_notes!$N:$N,Rollup_PCA_notes!$L:$L,AUTO_NOTES!$B82,Rollup_PCA_notes!$E:$E,"x")</f>
        <v>0</v>
      </c>
      <c r="H82" s="868"/>
      <c r="I82" s="871"/>
      <c r="J82" s="874"/>
      <c r="K82" s="874"/>
      <c r="L82" s="871"/>
      <c r="M82" s="853"/>
      <c r="N82" s="856"/>
      <c r="O82" s="859"/>
      <c r="P82" s="859"/>
      <c r="Q82" s="862"/>
      <c r="R82" s="865"/>
      <c r="S82" s="503"/>
      <c r="T82" s="539"/>
      <c r="U82" s="503"/>
      <c r="V82" s="503"/>
      <c r="W82" s="503"/>
      <c r="X82" s="503"/>
      <c r="Y82" s="503"/>
      <c r="Z82" s="503"/>
      <c r="AA82" s="503"/>
      <c r="AB82" s="503"/>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3"/>
      <c r="AY82" s="503"/>
      <c r="AZ82" s="503"/>
      <c r="BA82" s="503"/>
      <c r="BB82" s="503"/>
      <c r="BC82" s="503"/>
      <c r="BD82" s="503"/>
      <c r="BE82" s="503"/>
      <c r="BF82" s="503"/>
      <c r="BG82" s="503"/>
      <c r="BH82" s="503"/>
      <c r="BI82" s="503"/>
      <c r="BJ82" s="503"/>
      <c r="BK82" s="503"/>
      <c r="BL82" s="503"/>
      <c r="BM82" s="503"/>
      <c r="BN82" s="503"/>
      <c r="BO82" s="503"/>
      <c r="BP82" s="503"/>
      <c r="BQ82" s="503"/>
      <c r="BR82" s="503"/>
      <c r="BS82" s="503"/>
      <c r="BT82" s="503"/>
      <c r="BU82" s="503"/>
      <c r="BV82" s="503"/>
      <c r="BW82" s="503"/>
      <c r="BX82" s="503"/>
      <c r="BY82" s="503"/>
      <c r="BZ82" s="503"/>
      <c r="CA82" s="503"/>
      <c r="CB82" s="503"/>
      <c r="CC82" s="503"/>
      <c r="CD82" s="503"/>
      <c r="CE82" s="503"/>
    </row>
    <row r="83" spans="1:83" s="365" customFormat="1" ht="18" customHeight="1" x14ac:dyDescent="0.2">
      <c r="A83" s="503"/>
      <c r="B83" s="540" t="str">
        <f>B82</f>
        <v>Site</v>
      </c>
      <c r="C83" s="554" t="s">
        <v>890</v>
      </c>
      <c r="D83" s="555">
        <f>COUNTIFS(Rollup_PCA_notes!$L:$L,AUTO_NOTES!$B83,Rollup_PCA_notes!$F:$F,"X")</f>
        <v>0</v>
      </c>
      <c r="E83" s="548" t="e">
        <f t="shared" si="73"/>
        <v>#DIV/0!</v>
      </c>
      <c r="F83" s="556">
        <f>SUMIFS(Rollup_PCA_notes!$J:$J,Rollup_PCA_notes!$L:$L,AUTO_NOTES!$B83,Rollup_PCA_notes!$F:$F,"x")</f>
        <v>0</v>
      </c>
      <c r="G83" s="556">
        <f>SUMIFS(Rollup_PCA_notes!$N:$N,Rollup_PCA_notes!$L:$L,AUTO_NOTES!$B83,Rollup_PCA_notes!$F:$F,"x")</f>
        <v>0</v>
      </c>
      <c r="H83" s="868"/>
      <c r="I83" s="871"/>
      <c r="J83" s="874"/>
      <c r="K83" s="874"/>
      <c r="L83" s="871"/>
      <c r="M83" s="853"/>
      <c r="N83" s="856"/>
      <c r="O83" s="859"/>
      <c r="P83" s="859"/>
      <c r="Q83" s="862"/>
      <c r="R83" s="865"/>
      <c r="S83" s="503"/>
      <c r="T83" s="539"/>
      <c r="U83" s="503"/>
      <c r="V83" s="503"/>
      <c r="W83" s="503"/>
      <c r="X83" s="503"/>
      <c r="Y83" s="503"/>
      <c r="Z83" s="503"/>
      <c r="AA83" s="503"/>
      <c r="AB83" s="503"/>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3"/>
      <c r="AY83" s="503"/>
      <c r="AZ83" s="503"/>
      <c r="BA83" s="503"/>
      <c r="BB83" s="503"/>
      <c r="BC83" s="503"/>
      <c r="BD83" s="503"/>
      <c r="BE83" s="503"/>
      <c r="BF83" s="503"/>
      <c r="BG83" s="503"/>
      <c r="BH83" s="503"/>
      <c r="BI83" s="503"/>
      <c r="BJ83" s="503"/>
      <c r="BK83" s="503"/>
      <c r="BL83" s="503"/>
      <c r="BM83" s="503"/>
      <c r="BN83" s="503"/>
      <c r="BO83" s="503"/>
      <c r="BP83" s="503"/>
      <c r="BQ83" s="503"/>
      <c r="BR83" s="503"/>
      <c r="BS83" s="503"/>
      <c r="BT83" s="503"/>
      <c r="BU83" s="503"/>
      <c r="BV83" s="503"/>
      <c r="BW83" s="503"/>
      <c r="BX83" s="503"/>
      <c r="BY83" s="503"/>
      <c r="BZ83" s="503"/>
      <c r="CA83" s="503"/>
      <c r="CB83" s="503"/>
      <c r="CC83" s="503"/>
      <c r="CD83" s="503"/>
      <c r="CE83" s="503"/>
    </row>
    <row r="84" spans="1:83" s="365" customFormat="1" ht="18" customHeight="1" x14ac:dyDescent="0.2">
      <c r="A84" s="503"/>
      <c r="B84" s="540" t="str">
        <f>B83</f>
        <v>Site</v>
      </c>
      <c r="C84" s="554" t="s">
        <v>45</v>
      </c>
      <c r="D84" s="555">
        <f>COUNTIFS(Rollup_PCA_notes!$L:$L,AUTO_NOTES!$B84,Rollup_PCA_notes!$G:$G,"X")</f>
        <v>0</v>
      </c>
      <c r="E84" s="548" t="e">
        <f t="shared" si="73"/>
        <v>#DIV/0!</v>
      </c>
      <c r="F84" s="556">
        <f>SUMIFS(Rollup_PCA_notes!$J:$J,Rollup_PCA_notes!$L:$L,AUTO_NOTES!$B84,Rollup_PCA_notes!$G:$G,"x")</f>
        <v>0</v>
      </c>
      <c r="G84" s="556">
        <f>SUMIFS(Rollup_PCA_notes!$N:$N,Rollup_PCA_notes!$L:$L,AUTO_NOTES!$B84,Rollup_PCA_notes!$G:$G,"x")</f>
        <v>0</v>
      </c>
      <c r="H84" s="868"/>
      <c r="I84" s="871"/>
      <c r="J84" s="874"/>
      <c r="K84" s="874"/>
      <c r="L84" s="871"/>
      <c r="M84" s="853"/>
      <c r="N84" s="856"/>
      <c r="O84" s="859"/>
      <c r="P84" s="859"/>
      <c r="Q84" s="862"/>
      <c r="R84" s="865"/>
      <c r="S84" s="503"/>
      <c r="T84" s="539"/>
      <c r="U84" s="503"/>
      <c r="V84" s="503"/>
      <c r="W84" s="503"/>
      <c r="X84" s="503"/>
      <c r="Y84" s="503"/>
      <c r="Z84" s="503"/>
      <c r="AA84" s="503"/>
      <c r="AB84" s="503"/>
      <c r="AC84" s="503"/>
      <c r="AD84" s="503"/>
      <c r="AE84" s="503"/>
      <c r="AF84" s="503"/>
      <c r="AG84" s="503"/>
      <c r="AH84" s="503"/>
      <c r="AI84" s="503"/>
      <c r="AJ84" s="503"/>
      <c r="AK84" s="503"/>
      <c r="AL84" s="503"/>
      <c r="AM84" s="503"/>
      <c r="AN84" s="503"/>
      <c r="AO84" s="503"/>
      <c r="AP84" s="503"/>
      <c r="AQ84" s="503"/>
      <c r="AR84" s="503"/>
      <c r="AS84" s="503"/>
      <c r="AT84" s="503"/>
      <c r="AU84" s="503"/>
      <c r="AV84" s="503"/>
      <c r="AW84" s="503"/>
      <c r="AX84" s="503"/>
      <c r="AY84" s="503"/>
      <c r="AZ84" s="503"/>
      <c r="BA84" s="503"/>
      <c r="BB84" s="503"/>
      <c r="BC84" s="503"/>
      <c r="BD84" s="503"/>
      <c r="BE84" s="503"/>
      <c r="BF84" s="503"/>
      <c r="BG84" s="503"/>
      <c r="BH84" s="503"/>
      <c r="BI84" s="503"/>
      <c r="BJ84" s="503"/>
      <c r="BK84" s="503"/>
      <c r="BL84" s="503"/>
      <c r="BM84" s="503"/>
      <c r="BN84" s="503"/>
      <c r="BO84" s="503"/>
      <c r="BP84" s="503"/>
      <c r="BQ84" s="503"/>
      <c r="BR84" s="503"/>
      <c r="BS84" s="503"/>
      <c r="BT84" s="503"/>
      <c r="BU84" s="503"/>
      <c r="BV84" s="503"/>
      <c r="BW84" s="503"/>
      <c r="BX84" s="503"/>
      <c r="BY84" s="503"/>
      <c r="BZ84" s="503"/>
      <c r="CA84" s="503"/>
      <c r="CB84" s="503"/>
      <c r="CC84" s="503"/>
      <c r="CD84" s="503"/>
      <c r="CE84" s="503"/>
    </row>
    <row r="85" spans="1:83" s="365" customFormat="1" ht="18" customHeight="1" thickBot="1" x14ac:dyDescent="0.25">
      <c r="A85" s="503"/>
      <c r="B85" s="541" t="str">
        <f>B84</f>
        <v>Site</v>
      </c>
      <c r="C85" s="557" t="s">
        <v>46</v>
      </c>
      <c r="D85" s="558">
        <f>COUNTIFS(Rollup_PCA_notes!$L:$L,AUTO_NOTES!$B85,Rollup_PCA_notes!$H:$H,"X")</f>
        <v>0</v>
      </c>
      <c r="E85" s="549" t="e">
        <f t="shared" si="73"/>
        <v>#DIV/0!</v>
      </c>
      <c r="F85" s="559">
        <f>SUMIFS(Rollup_PCA_notes!$J:$J,Rollup_PCA_notes!$L:$L,AUTO_NOTES!$B85,Rollup_PCA_notes!$H:$H,"x")</f>
        <v>0</v>
      </c>
      <c r="G85" s="559">
        <f>SUMIFS(Rollup_PCA_notes!$N:$N,Rollup_PCA_notes!$L:$L,AUTO_NOTES!$B85,Rollup_PCA_notes!$H:$H,"x")</f>
        <v>0</v>
      </c>
      <c r="H85" s="869"/>
      <c r="I85" s="872"/>
      <c r="J85" s="875"/>
      <c r="K85" s="875"/>
      <c r="L85" s="872"/>
      <c r="M85" s="854"/>
      <c r="N85" s="857"/>
      <c r="O85" s="860"/>
      <c r="P85" s="860"/>
      <c r="Q85" s="863"/>
      <c r="R85" s="866"/>
      <c r="S85" s="503"/>
      <c r="T85" s="539"/>
      <c r="U85" s="503"/>
      <c r="V85" s="503"/>
      <c r="W85" s="503"/>
      <c r="X85" s="503"/>
      <c r="Y85" s="503"/>
      <c r="Z85" s="503"/>
      <c r="AA85" s="503"/>
      <c r="AB85" s="503"/>
      <c r="AC85" s="503"/>
      <c r="AD85" s="503"/>
      <c r="AE85" s="503"/>
      <c r="AF85" s="503"/>
      <c r="AG85" s="503"/>
      <c r="AH85" s="503"/>
      <c r="AI85" s="503"/>
      <c r="AJ85" s="503"/>
      <c r="AK85" s="503"/>
      <c r="AL85" s="503"/>
      <c r="AM85" s="503"/>
      <c r="AN85" s="503"/>
      <c r="AO85" s="503"/>
      <c r="AP85" s="503"/>
      <c r="AQ85" s="503"/>
      <c r="AR85" s="503"/>
      <c r="AS85" s="503"/>
      <c r="AT85" s="503"/>
      <c r="AU85" s="503"/>
      <c r="AV85" s="503"/>
      <c r="AW85" s="503"/>
      <c r="AX85" s="503"/>
      <c r="AY85" s="503"/>
      <c r="AZ85" s="503"/>
      <c r="BA85" s="503"/>
      <c r="BB85" s="503"/>
      <c r="BC85" s="503"/>
      <c r="BD85" s="503"/>
      <c r="BE85" s="503"/>
      <c r="BF85" s="503"/>
      <c r="BG85" s="503"/>
      <c r="BH85" s="503"/>
      <c r="BI85" s="503"/>
      <c r="BJ85" s="503"/>
      <c r="BK85" s="503"/>
      <c r="BL85" s="503"/>
      <c r="BM85" s="503"/>
      <c r="BN85" s="503"/>
      <c r="BO85" s="503"/>
      <c r="BP85" s="503"/>
      <c r="BQ85" s="503"/>
      <c r="BR85" s="503"/>
      <c r="BS85" s="503"/>
      <c r="BT85" s="503"/>
      <c r="BU85" s="503"/>
      <c r="BV85" s="503"/>
      <c r="BW85" s="503"/>
      <c r="BX85" s="503"/>
      <c r="BY85" s="503"/>
      <c r="BZ85" s="503"/>
      <c r="CA85" s="503"/>
      <c r="CB85" s="503"/>
      <c r="CC85" s="503"/>
      <c r="CD85" s="503"/>
      <c r="CE85" s="503"/>
    </row>
    <row r="86" spans="1:83" s="502" customFormat="1" x14ac:dyDescent="0.2">
      <c r="D86" s="514"/>
      <c r="E86" s="542"/>
      <c r="F86" s="543"/>
      <c r="G86" s="543"/>
      <c r="H86" s="542"/>
      <c r="I86" s="542"/>
      <c r="J86" s="542"/>
      <c r="K86" s="542"/>
      <c r="L86" s="542"/>
      <c r="M86" s="542"/>
      <c r="N86" s="524"/>
      <c r="O86" s="524"/>
      <c r="P86" s="560"/>
      <c r="T86" s="537"/>
    </row>
    <row r="87" spans="1:83" s="502" customFormat="1" x14ac:dyDescent="0.2">
      <c r="D87" s="514"/>
      <c r="E87" s="542"/>
      <c r="F87" s="543"/>
      <c r="G87" s="543"/>
      <c r="H87" s="542"/>
      <c r="I87" s="542"/>
      <c r="J87" s="542"/>
      <c r="K87" s="542"/>
      <c r="L87" s="542"/>
      <c r="M87" s="542"/>
      <c r="N87" s="524"/>
      <c r="O87" s="524"/>
      <c r="P87" s="560"/>
      <c r="T87" s="537"/>
    </row>
    <row r="88" spans="1:83" s="502" customFormat="1" x14ac:dyDescent="0.2">
      <c r="D88" s="514"/>
      <c r="E88" s="542"/>
      <c r="F88" s="543"/>
      <c r="G88" s="543"/>
      <c r="H88" s="542"/>
      <c r="I88" s="542"/>
      <c r="J88" s="542"/>
      <c r="K88" s="542"/>
      <c r="L88" s="542"/>
      <c r="M88" s="542"/>
      <c r="N88" s="524"/>
      <c r="O88" s="524"/>
      <c r="P88" s="560"/>
      <c r="T88" s="537"/>
    </row>
    <row r="89" spans="1:83" s="502" customFormat="1" x14ac:dyDescent="0.2">
      <c r="D89" s="514"/>
      <c r="E89" s="542"/>
      <c r="F89" s="543"/>
      <c r="G89" s="543"/>
      <c r="H89" s="542"/>
      <c r="I89" s="542"/>
      <c r="J89" s="542"/>
      <c r="K89" s="542"/>
      <c r="L89" s="542"/>
      <c r="M89" s="542"/>
      <c r="N89" s="524"/>
      <c r="O89" s="524"/>
      <c r="P89" s="560"/>
      <c r="T89" s="537"/>
    </row>
    <row r="90" spans="1:83" s="502" customFormat="1" x14ac:dyDescent="0.2">
      <c r="D90" s="514"/>
      <c r="E90" s="542"/>
      <c r="F90" s="543"/>
      <c r="G90" s="543"/>
      <c r="H90" s="542"/>
      <c r="I90" s="542"/>
      <c r="J90" s="542"/>
      <c r="K90" s="542"/>
      <c r="L90" s="542"/>
      <c r="M90" s="542"/>
      <c r="N90" s="524"/>
      <c r="O90" s="524"/>
      <c r="P90" s="560"/>
      <c r="T90" s="537"/>
    </row>
    <row r="91" spans="1:83" s="502" customFormat="1" x14ac:dyDescent="0.2">
      <c r="D91" s="514"/>
      <c r="E91" s="542"/>
      <c r="F91" s="543"/>
      <c r="G91" s="543"/>
      <c r="H91" s="542"/>
      <c r="I91" s="542"/>
      <c r="J91" s="542"/>
      <c r="K91" s="542"/>
      <c r="L91" s="542"/>
      <c r="M91" s="542"/>
      <c r="N91" s="524"/>
      <c r="O91" s="524"/>
      <c r="P91" s="560"/>
      <c r="T91" s="537"/>
    </row>
    <row r="92" spans="1:83" s="502" customFormat="1" x14ac:dyDescent="0.2">
      <c r="D92" s="514"/>
      <c r="E92" s="542"/>
      <c r="F92" s="543"/>
      <c r="G92" s="543"/>
      <c r="H92" s="542"/>
      <c r="I92" s="542"/>
      <c r="J92" s="542"/>
      <c r="K92" s="542"/>
      <c r="L92" s="542"/>
      <c r="M92" s="542"/>
      <c r="N92" s="524"/>
      <c r="O92" s="524"/>
      <c r="P92" s="560"/>
      <c r="T92" s="537"/>
    </row>
    <row r="93" spans="1:83" s="502" customFormat="1" x14ac:dyDescent="0.2">
      <c r="D93" s="514"/>
      <c r="E93" s="542"/>
      <c r="F93" s="543"/>
      <c r="G93" s="543"/>
      <c r="H93" s="542"/>
      <c r="I93" s="542"/>
      <c r="J93" s="542"/>
      <c r="K93" s="542"/>
      <c r="L93" s="542"/>
      <c r="M93" s="542"/>
      <c r="N93" s="524"/>
      <c r="O93" s="524"/>
      <c r="P93" s="560"/>
      <c r="T93" s="537"/>
    </row>
    <row r="94" spans="1:83" s="502" customFormat="1" x14ac:dyDescent="0.2">
      <c r="D94" s="514"/>
      <c r="E94" s="542"/>
      <c r="F94" s="543"/>
      <c r="G94" s="543"/>
      <c r="H94" s="542"/>
      <c r="I94" s="542"/>
      <c r="J94" s="542"/>
      <c r="K94" s="542"/>
      <c r="L94" s="542"/>
      <c r="M94" s="542"/>
      <c r="N94" s="524"/>
      <c r="O94" s="524"/>
      <c r="P94" s="560"/>
      <c r="T94" s="537"/>
    </row>
    <row r="95" spans="1:83" s="502" customFormat="1" x14ac:dyDescent="0.2">
      <c r="D95" s="514"/>
      <c r="E95" s="542"/>
      <c r="F95" s="543"/>
      <c r="G95" s="543"/>
      <c r="H95" s="542"/>
      <c r="I95" s="542"/>
      <c r="J95" s="542"/>
      <c r="K95" s="542"/>
      <c r="L95" s="542"/>
      <c r="M95" s="542"/>
      <c r="N95" s="524"/>
      <c r="O95" s="524"/>
      <c r="P95" s="560"/>
      <c r="T95" s="537"/>
    </row>
    <row r="96" spans="1:83" s="502" customFormat="1" x14ac:dyDescent="0.2">
      <c r="D96" s="514"/>
      <c r="E96" s="542"/>
      <c r="F96" s="543"/>
      <c r="G96" s="543"/>
      <c r="H96" s="542"/>
      <c r="I96" s="542"/>
      <c r="J96" s="542"/>
      <c r="K96" s="542"/>
      <c r="L96" s="542"/>
      <c r="M96" s="542"/>
      <c r="N96" s="524"/>
      <c r="O96" s="524"/>
      <c r="P96" s="560"/>
      <c r="T96" s="537"/>
    </row>
    <row r="97" spans="4:20" s="502" customFormat="1" x14ac:dyDescent="0.2">
      <c r="D97" s="514"/>
      <c r="E97" s="542"/>
      <c r="F97" s="543"/>
      <c r="G97" s="543"/>
      <c r="H97" s="542"/>
      <c r="I97" s="542"/>
      <c r="J97" s="542"/>
      <c r="K97" s="542"/>
      <c r="L97" s="542"/>
      <c r="M97" s="542"/>
      <c r="N97" s="524"/>
      <c r="O97" s="524"/>
      <c r="P97" s="560"/>
      <c r="T97" s="537"/>
    </row>
    <row r="98" spans="4:20" s="502" customFormat="1" x14ac:dyDescent="0.2">
      <c r="D98" s="514"/>
      <c r="E98" s="542"/>
      <c r="F98" s="543"/>
      <c r="G98" s="543"/>
      <c r="H98" s="542"/>
      <c r="I98" s="542"/>
      <c r="J98" s="542"/>
      <c r="K98" s="542"/>
      <c r="L98" s="542"/>
      <c r="M98" s="542"/>
      <c r="N98" s="524"/>
      <c r="O98" s="524"/>
      <c r="P98" s="560"/>
      <c r="T98" s="537"/>
    </row>
    <row r="99" spans="4:20" s="502" customFormat="1" x14ac:dyDescent="0.2">
      <c r="D99" s="514"/>
      <c r="E99" s="542"/>
      <c r="F99" s="543"/>
      <c r="G99" s="543"/>
      <c r="H99" s="542"/>
      <c r="I99" s="542"/>
      <c r="J99" s="542"/>
      <c r="K99" s="542"/>
      <c r="L99" s="542"/>
      <c r="M99" s="542"/>
      <c r="N99" s="524"/>
      <c r="O99" s="524"/>
      <c r="P99" s="560"/>
      <c r="T99" s="537"/>
    </row>
    <row r="100" spans="4:20" s="502" customFormat="1" x14ac:dyDescent="0.2">
      <c r="D100" s="514"/>
      <c r="E100" s="542"/>
      <c r="F100" s="543"/>
      <c r="G100" s="543"/>
      <c r="H100" s="542"/>
      <c r="I100" s="542"/>
      <c r="J100" s="542"/>
      <c r="K100" s="542"/>
      <c r="L100" s="542"/>
      <c r="M100" s="542"/>
      <c r="N100" s="524"/>
      <c r="O100" s="524"/>
      <c r="P100" s="560"/>
      <c r="T100" s="537"/>
    </row>
    <row r="101" spans="4:20" s="502" customFormat="1" x14ac:dyDescent="0.2">
      <c r="D101" s="514"/>
      <c r="E101" s="542"/>
      <c r="F101" s="543"/>
      <c r="G101" s="543"/>
      <c r="H101" s="542"/>
      <c r="I101" s="542"/>
      <c r="J101" s="542"/>
      <c r="K101" s="542"/>
      <c r="L101" s="542"/>
      <c r="M101" s="542"/>
      <c r="N101" s="524"/>
      <c r="O101" s="524"/>
      <c r="P101" s="560"/>
      <c r="T101" s="537"/>
    </row>
    <row r="102" spans="4:20" s="502" customFormat="1" x14ac:dyDescent="0.2">
      <c r="D102" s="514"/>
      <c r="E102" s="542"/>
      <c r="F102" s="543"/>
      <c r="G102" s="543"/>
      <c r="H102" s="542"/>
      <c r="I102" s="542"/>
      <c r="J102" s="542"/>
      <c r="K102" s="542"/>
      <c r="L102" s="542"/>
      <c r="M102" s="542"/>
      <c r="N102" s="524"/>
      <c r="O102" s="524"/>
      <c r="P102" s="560"/>
      <c r="T102" s="537"/>
    </row>
    <row r="103" spans="4:20" s="502" customFormat="1" x14ac:dyDescent="0.2">
      <c r="D103" s="514"/>
      <c r="E103" s="542"/>
      <c r="F103" s="543"/>
      <c r="G103" s="543"/>
      <c r="H103" s="542"/>
      <c r="I103" s="542"/>
      <c r="J103" s="542"/>
      <c r="K103" s="542"/>
      <c r="L103" s="542"/>
      <c r="M103" s="542"/>
      <c r="N103" s="524"/>
      <c r="O103" s="524"/>
      <c r="P103" s="560"/>
      <c r="T103" s="537"/>
    </row>
    <row r="104" spans="4:20" s="502" customFormat="1" x14ac:dyDescent="0.2">
      <c r="D104" s="514"/>
      <c r="E104" s="542"/>
      <c r="F104" s="543"/>
      <c r="G104" s="543"/>
      <c r="H104" s="542"/>
      <c r="I104" s="542"/>
      <c r="J104" s="542"/>
      <c r="K104" s="542"/>
      <c r="L104" s="542"/>
      <c r="M104" s="542"/>
      <c r="N104" s="524"/>
      <c r="O104" s="524"/>
      <c r="P104" s="560"/>
      <c r="T104" s="537"/>
    </row>
    <row r="105" spans="4:20" s="502" customFormat="1" x14ac:dyDescent="0.2">
      <c r="D105" s="514"/>
      <c r="E105" s="542"/>
      <c r="F105" s="543"/>
      <c r="G105" s="543"/>
      <c r="H105" s="542"/>
      <c r="I105" s="542"/>
      <c r="J105" s="542"/>
      <c r="K105" s="542"/>
      <c r="L105" s="542"/>
      <c r="M105" s="542"/>
      <c r="N105" s="524"/>
      <c r="O105" s="524"/>
      <c r="P105" s="560"/>
      <c r="T105" s="537"/>
    </row>
    <row r="106" spans="4:20" s="502" customFormat="1" x14ac:dyDescent="0.2">
      <c r="D106" s="514"/>
      <c r="E106" s="542"/>
      <c r="F106" s="543"/>
      <c r="G106" s="543"/>
      <c r="H106" s="542"/>
      <c r="I106" s="542"/>
      <c r="J106" s="542"/>
      <c r="K106" s="542"/>
      <c r="L106" s="542"/>
      <c r="M106" s="542"/>
      <c r="N106" s="524"/>
      <c r="O106" s="524"/>
      <c r="P106" s="560"/>
      <c r="T106" s="537"/>
    </row>
    <row r="107" spans="4:20" s="502" customFormat="1" x14ac:dyDescent="0.2">
      <c r="D107" s="514"/>
      <c r="E107" s="542"/>
      <c r="F107" s="543"/>
      <c r="G107" s="543"/>
      <c r="H107" s="542"/>
      <c r="I107" s="542"/>
      <c r="J107" s="542"/>
      <c r="K107" s="542"/>
      <c r="L107" s="542"/>
      <c r="M107" s="542"/>
      <c r="N107" s="524"/>
      <c r="O107" s="524"/>
      <c r="P107" s="560"/>
      <c r="T107" s="537"/>
    </row>
    <row r="108" spans="4:20" s="502" customFormat="1" x14ac:dyDescent="0.2">
      <c r="D108" s="514"/>
      <c r="E108" s="542"/>
      <c r="F108" s="543"/>
      <c r="G108" s="543"/>
      <c r="H108" s="542"/>
      <c r="I108" s="542"/>
      <c r="J108" s="542"/>
      <c r="K108" s="542"/>
      <c r="L108" s="542"/>
      <c r="M108" s="542"/>
      <c r="N108" s="524"/>
      <c r="O108" s="524"/>
      <c r="P108" s="560"/>
      <c r="T108" s="537"/>
    </row>
    <row r="109" spans="4:20" s="502" customFormat="1" x14ac:dyDescent="0.2">
      <c r="D109" s="514"/>
      <c r="E109" s="542"/>
      <c r="F109" s="543"/>
      <c r="G109" s="543"/>
      <c r="H109" s="542"/>
      <c r="I109" s="542"/>
      <c r="J109" s="542"/>
      <c r="K109" s="542"/>
      <c r="L109" s="542"/>
      <c r="M109" s="542"/>
      <c r="N109" s="524"/>
      <c r="O109" s="524"/>
      <c r="P109" s="560"/>
      <c r="T109" s="537"/>
    </row>
    <row r="110" spans="4:20" s="502" customFormat="1" x14ac:dyDescent="0.2">
      <c r="D110" s="514"/>
      <c r="E110" s="542"/>
      <c r="F110" s="543"/>
      <c r="G110" s="543"/>
      <c r="H110" s="542"/>
      <c r="I110" s="542"/>
      <c r="J110" s="542"/>
      <c r="K110" s="542"/>
      <c r="L110" s="542"/>
      <c r="M110" s="542"/>
      <c r="N110" s="524"/>
      <c r="O110" s="524"/>
      <c r="P110" s="560"/>
      <c r="T110" s="537"/>
    </row>
    <row r="111" spans="4:20" s="502" customFormat="1" x14ac:dyDescent="0.2">
      <c r="D111" s="514"/>
      <c r="E111" s="542"/>
      <c r="F111" s="543"/>
      <c r="G111" s="543"/>
      <c r="H111" s="542"/>
      <c r="I111" s="542"/>
      <c r="J111" s="542"/>
      <c r="K111" s="542"/>
      <c r="L111" s="542"/>
      <c r="M111" s="542"/>
      <c r="N111" s="524"/>
      <c r="O111" s="524"/>
      <c r="P111" s="560"/>
      <c r="T111" s="537"/>
    </row>
    <row r="112" spans="4:20" s="502" customFormat="1" x14ac:dyDescent="0.2">
      <c r="D112" s="514"/>
      <c r="E112" s="542"/>
      <c r="F112" s="543"/>
      <c r="G112" s="543"/>
      <c r="H112" s="542"/>
      <c r="I112" s="542"/>
      <c r="J112" s="542"/>
      <c r="K112" s="542"/>
      <c r="L112" s="542"/>
      <c r="M112" s="542"/>
      <c r="N112" s="524"/>
      <c r="O112" s="524"/>
      <c r="P112" s="560"/>
      <c r="T112" s="537"/>
    </row>
    <row r="113" spans="4:20" s="502" customFormat="1" x14ac:dyDescent="0.2">
      <c r="D113" s="514"/>
      <c r="E113" s="542"/>
      <c r="F113" s="543"/>
      <c r="G113" s="543"/>
      <c r="H113" s="542"/>
      <c r="I113" s="542"/>
      <c r="J113" s="542"/>
      <c r="K113" s="542"/>
      <c r="L113" s="542"/>
      <c r="M113" s="542"/>
      <c r="N113" s="524"/>
      <c r="O113" s="524"/>
      <c r="P113" s="560"/>
      <c r="T113" s="537"/>
    </row>
    <row r="114" spans="4:20" s="502" customFormat="1" x14ac:dyDescent="0.2">
      <c r="D114" s="514"/>
      <c r="E114" s="542"/>
      <c r="F114" s="543"/>
      <c r="G114" s="543"/>
      <c r="H114" s="542"/>
      <c r="I114" s="542"/>
      <c r="J114" s="542"/>
      <c r="K114" s="542"/>
      <c r="L114" s="542"/>
      <c r="M114" s="542"/>
      <c r="N114" s="524"/>
      <c r="O114" s="524"/>
      <c r="P114" s="560"/>
      <c r="T114" s="537"/>
    </row>
    <row r="115" spans="4:20" s="502" customFormat="1" x14ac:dyDescent="0.2">
      <c r="D115" s="514"/>
      <c r="E115" s="542"/>
      <c r="F115" s="543"/>
      <c r="G115" s="543"/>
      <c r="H115" s="542"/>
      <c r="I115" s="542"/>
      <c r="J115" s="542"/>
      <c r="K115" s="542"/>
      <c r="L115" s="542"/>
      <c r="M115" s="542"/>
      <c r="N115" s="524"/>
      <c r="O115" s="524"/>
      <c r="P115" s="560"/>
      <c r="T115" s="537"/>
    </row>
    <row r="116" spans="4:20" s="502" customFormat="1" x14ac:dyDescent="0.2">
      <c r="D116" s="514"/>
      <c r="E116" s="542"/>
      <c r="F116" s="543"/>
      <c r="G116" s="543"/>
      <c r="H116" s="542"/>
      <c r="I116" s="542"/>
      <c r="J116" s="542"/>
      <c r="K116" s="542"/>
      <c r="L116" s="542"/>
      <c r="M116" s="542"/>
      <c r="N116" s="524"/>
      <c r="O116" s="524"/>
      <c r="P116" s="560"/>
      <c r="T116" s="537"/>
    </row>
    <row r="117" spans="4:20" s="502" customFormat="1" x14ac:dyDescent="0.2">
      <c r="D117" s="514"/>
      <c r="E117" s="542"/>
      <c r="F117" s="543"/>
      <c r="G117" s="543"/>
      <c r="H117" s="542"/>
      <c r="I117" s="542"/>
      <c r="J117" s="542"/>
      <c r="K117" s="542"/>
      <c r="L117" s="542"/>
      <c r="M117" s="542"/>
      <c r="N117" s="524"/>
      <c r="O117" s="524"/>
      <c r="P117" s="560"/>
      <c r="T117" s="537"/>
    </row>
    <row r="118" spans="4:20" s="502" customFormat="1" x14ac:dyDescent="0.2">
      <c r="D118" s="514"/>
      <c r="E118" s="542"/>
      <c r="F118" s="543"/>
      <c r="G118" s="543"/>
      <c r="H118" s="542"/>
      <c r="I118" s="542"/>
      <c r="J118" s="542"/>
      <c r="K118" s="542"/>
      <c r="L118" s="542"/>
      <c r="M118" s="542"/>
      <c r="N118" s="524"/>
      <c r="O118" s="524"/>
      <c r="P118" s="560"/>
      <c r="T118" s="537"/>
    </row>
    <row r="119" spans="4:20" s="502" customFormat="1" x14ac:dyDescent="0.2">
      <c r="D119" s="514"/>
      <c r="E119" s="542"/>
      <c r="F119" s="543"/>
      <c r="G119" s="543"/>
      <c r="H119" s="542"/>
      <c r="I119" s="542"/>
      <c r="J119" s="542"/>
      <c r="K119" s="542"/>
      <c r="L119" s="542"/>
      <c r="M119" s="542"/>
      <c r="N119" s="524"/>
      <c r="O119" s="524"/>
      <c r="P119" s="560"/>
      <c r="T119" s="537"/>
    </row>
    <row r="120" spans="4:20" s="502" customFormat="1" x14ac:dyDescent="0.2">
      <c r="D120" s="514"/>
      <c r="E120" s="542"/>
      <c r="F120" s="543"/>
      <c r="G120" s="543"/>
      <c r="H120" s="542"/>
      <c r="I120" s="542"/>
      <c r="J120" s="542"/>
      <c r="K120" s="542"/>
      <c r="L120" s="542"/>
      <c r="M120" s="542"/>
      <c r="N120" s="524"/>
      <c r="O120" s="524"/>
      <c r="P120" s="560"/>
      <c r="T120" s="537"/>
    </row>
    <row r="121" spans="4:20" s="502" customFormat="1" x14ac:dyDescent="0.2">
      <c r="D121" s="514"/>
      <c r="E121" s="542"/>
      <c r="F121" s="543"/>
      <c r="G121" s="543"/>
      <c r="H121" s="542"/>
      <c r="I121" s="542"/>
      <c r="J121" s="542"/>
      <c r="K121" s="542"/>
      <c r="L121" s="542"/>
      <c r="M121" s="542"/>
      <c r="N121" s="524"/>
      <c r="O121" s="524"/>
      <c r="P121" s="560"/>
      <c r="T121" s="537"/>
    </row>
    <row r="122" spans="4:20" s="502" customFormat="1" x14ac:dyDescent="0.2">
      <c r="D122" s="514"/>
      <c r="E122" s="542"/>
      <c r="F122" s="543"/>
      <c r="G122" s="543"/>
      <c r="H122" s="542"/>
      <c r="I122" s="542"/>
      <c r="J122" s="542"/>
      <c r="K122" s="542"/>
      <c r="L122" s="542"/>
      <c r="M122" s="542"/>
      <c r="N122" s="524"/>
      <c r="O122" s="524"/>
      <c r="P122" s="560"/>
      <c r="T122" s="537"/>
    </row>
    <row r="123" spans="4:20" s="502" customFormat="1" x14ac:dyDescent="0.2">
      <c r="D123" s="514"/>
      <c r="E123" s="542"/>
      <c r="F123" s="543"/>
      <c r="G123" s="543"/>
      <c r="H123" s="542"/>
      <c r="I123" s="542"/>
      <c r="J123" s="542"/>
      <c r="K123" s="542"/>
      <c r="L123" s="542"/>
      <c r="M123" s="542"/>
      <c r="N123" s="524"/>
      <c r="O123" s="524"/>
      <c r="P123" s="560"/>
      <c r="T123" s="537"/>
    </row>
    <row r="124" spans="4:20" s="502" customFormat="1" x14ac:dyDescent="0.2">
      <c r="D124" s="514"/>
      <c r="E124" s="542"/>
      <c r="F124" s="543"/>
      <c r="G124" s="543"/>
      <c r="H124" s="542"/>
      <c r="I124" s="542"/>
      <c r="J124" s="542"/>
      <c r="K124" s="542"/>
      <c r="L124" s="542"/>
      <c r="M124" s="542"/>
      <c r="N124" s="524"/>
      <c r="O124" s="524"/>
      <c r="P124" s="560"/>
      <c r="T124" s="537"/>
    </row>
    <row r="125" spans="4:20" s="502" customFormat="1" x14ac:dyDescent="0.2">
      <c r="D125" s="514"/>
      <c r="E125" s="542"/>
      <c r="F125" s="543"/>
      <c r="G125" s="543"/>
      <c r="H125" s="542"/>
      <c r="I125" s="542"/>
      <c r="J125" s="542"/>
      <c r="K125" s="542"/>
      <c r="L125" s="542"/>
      <c r="M125" s="542"/>
      <c r="N125" s="524"/>
      <c r="O125" s="524"/>
      <c r="P125" s="560"/>
      <c r="T125" s="537"/>
    </row>
    <row r="126" spans="4:20" s="502" customFormat="1" x14ac:dyDescent="0.2">
      <c r="D126" s="514"/>
      <c r="E126" s="542"/>
      <c r="F126" s="543"/>
      <c r="G126" s="543"/>
      <c r="H126" s="542"/>
      <c r="I126" s="542"/>
      <c r="J126" s="542"/>
      <c r="K126" s="542"/>
      <c r="L126" s="542"/>
      <c r="M126" s="542"/>
      <c r="N126" s="524"/>
      <c r="O126" s="524"/>
      <c r="P126" s="560"/>
      <c r="T126" s="537"/>
    </row>
    <row r="127" spans="4:20" s="502" customFormat="1" x14ac:dyDescent="0.2">
      <c r="D127" s="514"/>
      <c r="E127" s="542"/>
      <c r="F127" s="543"/>
      <c r="G127" s="543"/>
      <c r="H127" s="542"/>
      <c r="I127" s="542"/>
      <c r="J127" s="542"/>
      <c r="K127" s="542"/>
      <c r="L127" s="542"/>
      <c r="M127" s="542"/>
      <c r="N127" s="524"/>
      <c r="O127" s="524"/>
      <c r="P127" s="560"/>
      <c r="T127" s="537"/>
    </row>
    <row r="128" spans="4:20" s="502" customFormat="1" x14ac:dyDescent="0.2">
      <c r="D128" s="514"/>
      <c r="E128" s="542"/>
      <c r="F128" s="543"/>
      <c r="G128" s="543"/>
      <c r="H128" s="542"/>
      <c r="I128" s="542"/>
      <c r="J128" s="542"/>
      <c r="K128" s="542"/>
      <c r="L128" s="542"/>
      <c r="M128" s="542"/>
      <c r="N128" s="524"/>
      <c r="O128" s="524"/>
      <c r="P128" s="560"/>
      <c r="T128" s="537"/>
    </row>
    <row r="129" spans="4:20" s="502" customFormat="1" x14ac:dyDescent="0.2">
      <c r="D129" s="514"/>
      <c r="E129" s="542"/>
      <c r="F129" s="543"/>
      <c r="G129" s="543"/>
      <c r="H129" s="542"/>
      <c r="I129" s="542"/>
      <c r="J129" s="542"/>
      <c r="K129" s="542"/>
      <c r="L129" s="542"/>
      <c r="M129" s="542"/>
      <c r="N129" s="524"/>
      <c r="O129" s="524"/>
      <c r="P129" s="560"/>
      <c r="T129" s="537"/>
    </row>
    <row r="130" spans="4:20" s="502" customFormat="1" x14ac:dyDescent="0.2">
      <c r="D130" s="514"/>
      <c r="E130" s="542"/>
      <c r="F130" s="543"/>
      <c r="G130" s="543"/>
      <c r="H130" s="542"/>
      <c r="I130" s="542"/>
      <c r="J130" s="542"/>
      <c r="K130" s="542"/>
      <c r="L130" s="542"/>
      <c r="M130" s="542"/>
      <c r="N130" s="524"/>
      <c r="O130" s="524"/>
      <c r="P130" s="560"/>
      <c r="T130" s="537"/>
    </row>
    <row r="131" spans="4:20" s="502" customFormat="1" x14ac:dyDescent="0.2">
      <c r="D131" s="514"/>
      <c r="E131" s="542"/>
      <c r="F131" s="543"/>
      <c r="G131" s="543"/>
      <c r="H131" s="542"/>
      <c r="I131" s="542"/>
      <c r="J131" s="542"/>
      <c r="K131" s="542"/>
      <c r="L131" s="542"/>
      <c r="M131" s="542"/>
      <c r="N131" s="524"/>
      <c r="O131" s="524"/>
      <c r="P131" s="560"/>
      <c r="T131" s="537"/>
    </row>
    <row r="132" spans="4:20" s="502" customFormat="1" x14ac:dyDescent="0.2">
      <c r="D132" s="514"/>
      <c r="E132" s="542"/>
      <c r="F132" s="543"/>
      <c r="G132" s="543"/>
      <c r="H132" s="542"/>
      <c r="I132" s="542"/>
      <c r="J132" s="542"/>
      <c r="K132" s="542"/>
      <c r="L132" s="542"/>
      <c r="M132" s="542"/>
      <c r="N132" s="524"/>
      <c r="O132" s="524"/>
      <c r="P132" s="560"/>
      <c r="T132" s="537"/>
    </row>
    <row r="133" spans="4:20" s="502" customFormat="1" x14ac:dyDescent="0.2">
      <c r="D133" s="514"/>
      <c r="E133" s="542"/>
      <c r="F133" s="543"/>
      <c r="G133" s="543"/>
      <c r="H133" s="542"/>
      <c r="I133" s="542"/>
      <c r="J133" s="542"/>
      <c r="K133" s="542"/>
      <c r="L133" s="542"/>
      <c r="M133" s="542"/>
      <c r="N133" s="524"/>
      <c r="O133" s="524"/>
      <c r="P133" s="560"/>
      <c r="T133" s="537"/>
    </row>
    <row r="134" spans="4:20" s="502" customFormat="1" x14ac:dyDescent="0.2">
      <c r="D134" s="514"/>
      <c r="E134" s="542"/>
      <c r="F134" s="543"/>
      <c r="G134" s="543"/>
      <c r="H134" s="542"/>
      <c r="I134" s="542"/>
      <c r="J134" s="542"/>
      <c r="K134" s="542"/>
      <c r="L134" s="542"/>
      <c r="M134" s="542"/>
      <c r="N134" s="524"/>
      <c r="O134" s="524"/>
      <c r="P134" s="560"/>
      <c r="T134" s="537"/>
    </row>
    <row r="135" spans="4:20" s="502" customFormat="1" x14ac:dyDescent="0.2">
      <c r="D135" s="514"/>
      <c r="E135" s="542"/>
      <c r="F135" s="543"/>
      <c r="G135" s="543"/>
      <c r="H135" s="542"/>
      <c r="I135" s="542"/>
      <c r="J135" s="542"/>
      <c r="K135" s="542"/>
      <c r="L135" s="542"/>
      <c r="M135" s="542"/>
      <c r="N135" s="524"/>
      <c r="O135" s="524"/>
      <c r="P135" s="560"/>
      <c r="T135" s="537"/>
    </row>
    <row r="136" spans="4:20" s="502" customFormat="1" x14ac:dyDescent="0.2">
      <c r="D136" s="514"/>
      <c r="E136" s="542"/>
      <c r="F136" s="543"/>
      <c r="G136" s="543"/>
      <c r="H136" s="542"/>
      <c r="I136" s="542"/>
      <c r="J136" s="542"/>
      <c r="K136" s="542"/>
      <c r="L136" s="542"/>
      <c r="M136" s="542"/>
      <c r="N136" s="524"/>
      <c r="O136" s="524"/>
      <c r="P136" s="560"/>
      <c r="T136" s="537"/>
    </row>
    <row r="137" spans="4:20" s="502" customFormat="1" x14ac:dyDescent="0.2">
      <c r="D137" s="514"/>
      <c r="E137" s="542"/>
      <c r="F137" s="543"/>
      <c r="G137" s="543"/>
      <c r="H137" s="542"/>
      <c r="I137" s="542"/>
      <c r="J137" s="542"/>
      <c r="K137" s="542"/>
      <c r="L137" s="542"/>
      <c r="M137" s="542"/>
      <c r="N137" s="524"/>
      <c r="O137" s="524"/>
      <c r="P137" s="560"/>
      <c r="T137" s="537"/>
    </row>
    <row r="138" spans="4:20" s="502" customFormat="1" x14ac:dyDescent="0.2">
      <c r="D138" s="514"/>
      <c r="E138" s="542"/>
      <c r="F138" s="543"/>
      <c r="G138" s="543"/>
      <c r="H138" s="542"/>
      <c r="I138" s="542"/>
      <c r="J138" s="542"/>
      <c r="K138" s="542"/>
      <c r="L138" s="542"/>
      <c r="M138" s="542"/>
      <c r="N138" s="524"/>
      <c r="O138" s="524"/>
      <c r="P138" s="560"/>
      <c r="T138" s="537"/>
    </row>
    <row r="139" spans="4:20" s="502" customFormat="1" x14ac:dyDescent="0.2">
      <c r="D139" s="514"/>
      <c r="E139" s="542"/>
      <c r="F139" s="543"/>
      <c r="G139" s="543"/>
      <c r="H139" s="542"/>
      <c r="I139" s="542"/>
      <c r="J139" s="542"/>
      <c r="K139" s="542"/>
      <c r="L139" s="542"/>
      <c r="M139" s="542"/>
      <c r="N139" s="524"/>
      <c r="O139" s="524"/>
      <c r="P139" s="560"/>
      <c r="T139" s="537"/>
    </row>
    <row r="140" spans="4:20" s="502" customFormat="1" x14ac:dyDescent="0.2">
      <c r="D140" s="514"/>
      <c r="E140" s="542"/>
      <c r="F140" s="543"/>
      <c r="G140" s="543"/>
      <c r="H140" s="542"/>
      <c r="I140" s="542"/>
      <c r="J140" s="542"/>
      <c r="K140" s="542"/>
      <c r="L140" s="542"/>
      <c r="M140" s="542"/>
      <c r="N140" s="524"/>
      <c r="O140" s="524"/>
      <c r="P140" s="560"/>
      <c r="T140" s="537"/>
    </row>
    <row r="141" spans="4:20" s="502" customFormat="1" x14ac:dyDescent="0.2">
      <c r="D141" s="514"/>
      <c r="E141" s="542"/>
      <c r="F141" s="543"/>
      <c r="G141" s="543"/>
      <c r="H141" s="542"/>
      <c r="I141" s="542"/>
      <c r="J141" s="542"/>
      <c r="K141" s="542"/>
      <c r="L141" s="542"/>
      <c r="M141" s="542"/>
      <c r="N141" s="524"/>
      <c r="O141" s="524"/>
      <c r="P141" s="560"/>
      <c r="T141" s="537"/>
    </row>
    <row r="142" spans="4:20" s="502" customFormat="1" x14ac:dyDescent="0.2">
      <c r="D142" s="514"/>
      <c r="E142" s="542"/>
      <c r="F142" s="543"/>
      <c r="G142" s="543"/>
      <c r="H142" s="542"/>
      <c r="I142" s="542"/>
      <c r="J142" s="542"/>
      <c r="K142" s="542"/>
      <c r="L142" s="542"/>
      <c r="M142" s="542"/>
      <c r="N142" s="524"/>
      <c r="O142" s="524"/>
      <c r="P142" s="560"/>
      <c r="T142" s="537"/>
    </row>
    <row r="143" spans="4:20" s="502" customFormat="1" x14ac:dyDescent="0.2">
      <c r="D143" s="514"/>
      <c r="E143" s="542"/>
      <c r="F143" s="543"/>
      <c r="G143" s="543"/>
      <c r="H143" s="542"/>
      <c r="I143" s="542"/>
      <c r="J143" s="542"/>
      <c r="K143" s="542"/>
      <c r="L143" s="542"/>
      <c r="M143" s="542"/>
      <c r="N143" s="524"/>
      <c r="O143" s="524"/>
      <c r="P143" s="560"/>
      <c r="T143" s="537"/>
    </row>
    <row r="144" spans="4:20" s="502" customFormat="1" x14ac:dyDescent="0.2">
      <c r="D144" s="514"/>
      <c r="E144" s="542"/>
      <c r="F144" s="543"/>
      <c r="G144" s="543"/>
      <c r="H144" s="542"/>
      <c r="I144" s="542"/>
      <c r="J144" s="542"/>
      <c r="K144" s="542"/>
      <c r="L144" s="542"/>
      <c r="M144" s="542"/>
      <c r="N144" s="524"/>
      <c r="O144" s="524"/>
      <c r="P144" s="560"/>
      <c r="T144" s="537"/>
    </row>
    <row r="145" spans="4:20" s="502" customFormat="1" x14ac:dyDescent="0.2">
      <c r="D145" s="514"/>
      <c r="E145" s="542"/>
      <c r="F145" s="543"/>
      <c r="G145" s="543"/>
      <c r="H145" s="542"/>
      <c r="I145" s="542"/>
      <c r="J145" s="542"/>
      <c r="K145" s="542"/>
      <c r="L145" s="542"/>
      <c r="M145" s="542"/>
      <c r="N145" s="524"/>
      <c r="O145" s="524"/>
      <c r="P145" s="560"/>
      <c r="T145" s="537"/>
    </row>
    <row r="146" spans="4:20" s="502" customFormat="1" x14ac:dyDescent="0.2">
      <c r="D146" s="514"/>
      <c r="E146" s="542"/>
      <c r="F146" s="543"/>
      <c r="G146" s="543"/>
      <c r="H146" s="542"/>
      <c r="I146" s="542"/>
      <c r="J146" s="542"/>
      <c r="K146" s="542"/>
      <c r="L146" s="542"/>
      <c r="M146" s="542"/>
      <c r="N146" s="524"/>
      <c r="O146" s="524"/>
      <c r="P146" s="560"/>
      <c r="T146" s="537"/>
    </row>
    <row r="147" spans="4:20" s="502" customFormat="1" x14ac:dyDescent="0.2">
      <c r="D147" s="514"/>
      <c r="E147" s="542"/>
      <c r="F147" s="543"/>
      <c r="G147" s="543"/>
      <c r="H147" s="542"/>
      <c r="I147" s="542"/>
      <c r="J147" s="542"/>
      <c r="K147" s="542"/>
      <c r="L147" s="542"/>
      <c r="M147" s="542"/>
      <c r="N147" s="524"/>
      <c r="O147" s="524"/>
      <c r="P147" s="560"/>
      <c r="T147" s="537"/>
    </row>
    <row r="148" spans="4:20" s="502" customFormat="1" x14ac:dyDescent="0.2">
      <c r="D148" s="514"/>
      <c r="E148" s="542"/>
      <c r="F148" s="543"/>
      <c r="G148" s="543"/>
      <c r="H148" s="542"/>
      <c r="I148" s="542"/>
      <c r="J148" s="542"/>
      <c r="K148" s="542"/>
      <c r="L148" s="542"/>
      <c r="M148" s="542"/>
      <c r="N148" s="524"/>
      <c r="O148" s="524"/>
      <c r="P148" s="560"/>
      <c r="T148" s="537"/>
    </row>
    <row r="149" spans="4:20" s="502" customFormat="1" x14ac:dyDescent="0.2">
      <c r="D149" s="514"/>
      <c r="E149" s="542"/>
      <c r="F149" s="543"/>
      <c r="G149" s="543"/>
      <c r="H149" s="542"/>
      <c r="I149" s="542"/>
      <c r="J149" s="542"/>
      <c r="K149" s="542"/>
      <c r="L149" s="542"/>
      <c r="M149" s="542"/>
      <c r="N149" s="524"/>
      <c r="O149" s="524"/>
      <c r="P149" s="560"/>
      <c r="T149" s="537"/>
    </row>
    <row r="150" spans="4:20" s="502" customFormat="1" x14ac:dyDescent="0.2">
      <c r="D150" s="514"/>
      <c r="E150" s="542"/>
      <c r="F150" s="543"/>
      <c r="G150" s="543"/>
      <c r="H150" s="542"/>
      <c r="I150" s="542"/>
      <c r="J150" s="542"/>
      <c r="K150" s="542"/>
      <c r="L150" s="542"/>
      <c r="M150" s="542"/>
      <c r="N150" s="524"/>
      <c r="O150" s="524"/>
      <c r="P150" s="560"/>
      <c r="T150" s="537"/>
    </row>
    <row r="151" spans="4:20" s="502" customFormat="1" x14ac:dyDescent="0.2">
      <c r="D151" s="514"/>
      <c r="E151" s="542"/>
      <c r="F151" s="543"/>
      <c r="G151" s="543"/>
      <c r="H151" s="542"/>
      <c r="I151" s="542"/>
      <c r="J151" s="542"/>
      <c r="K151" s="542"/>
      <c r="L151" s="542"/>
      <c r="M151" s="542"/>
      <c r="N151" s="524"/>
      <c r="O151" s="524"/>
      <c r="P151" s="560"/>
      <c r="T151" s="537"/>
    </row>
    <row r="152" spans="4:20" s="502" customFormat="1" x14ac:dyDescent="0.2">
      <c r="D152" s="514"/>
      <c r="E152" s="542"/>
      <c r="F152" s="543"/>
      <c r="G152" s="543"/>
      <c r="H152" s="542"/>
      <c r="I152" s="542"/>
      <c r="J152" s="542"/>
      <c r="K152" s="542"/>
      <c r="L152" s="542"/>
      <c r="M152" s="542"/>
      <c r="N152" s="524"/>
      <c r="O152" s="524"/>
      <c r="P152" s="560"/>
      <c r="T152" s="537"/>
    </row>
    <row r="153" spans="4:20" s="502" customFormat="1" x14ac:dyDescent="0.2">
      <c r="D153" s="514"/>
      <c r="E153" s="542"/>
      <c r="F153" s="543"/>
      <c r="G153" s="543"/>
      <c r="H153" s="542"/>
      <c r="I153" s="542"/>
      <c r="J153" s="542"/>
      <c r="K153" s="542"/>
      <c r="L153" s="542"/>
      <c r="M153" s="542"/>
      <c r="N153" s="524"/>
      <c r="O153" s="524"/>
      <c r="P153" s="560"/>
      <c r="T153" s="537"/>
    </row>
    <row r="154" spans="4:20" s="502" customFormat="1" x14ac:dyDescent="0.2">
      <c r="D154" s="514"/>
      <c r="E154" s="542"/>
      <c r="F154" s="543"/>
      <c r="G154" s="543"/>
      <c r="H154" s="542"/>
      <c r="I154" s="542"/>
      <c r="J154" s="542"/>
      <c r="K154" s="542"/>
      <c r="L154" s="542"/>
      <c r="M154" s="542"/>
      <c r="N154" s="524"/>
      <c r="O154" s="524"/>
      <c r="P154" s="560"/>
      <c r="T154" s="537"/>
    </row>
    <row r="155" spans="4:20" s="502" customFormat="1" x14ac:dyDescent="0.2">
      <c r="D155" s="514"/>
      <c r="E155" s="542"/>
      <c r="F155" s="543"/>
      <c r="G155" s="543"/>
      <c r="H155" s="542"/>
      <c r="I155" s="542"/>
      <c r="J155" s="542"/>
      <c r="K155" s="542"/>
      <c r="L155" s="542"/>
      <c r="M155" s="542"/>
      <c r="N155" s="524"/>
      <c r="O155" s="524"/>
      <c r="P155" s="560"/>
      <c r="T155" s="537"/>
    </row>
    <row r="156" spans="4:20" s="502" customFormat="1" x14ac:dyDescent="0.2">
      <c r="D156" s="514"/>
      <c r="E156" s="542"/>
      <c r="F156" s="543"/>
      <c r="G156" s="543"/>
      <c r="H156" s="542"/>
      <c r="I156" s="542"/>
      <c r="J156" s="542"/>
      <c r="K156" s="542"/>
      <c r="L156" s="542"/>
      <c r="M156" s="542"/>
      <c r="N156" s="524"/>
      <c r="O156" s="524"/>
      <c r="P156" s="560"/>
      <c r="T156" s="537"/>
    </row>
    <row r="157" spans="4:20" s="502" customFormat="1" x14ac:dyDescent="0.2">
      <c r="D157" s="514"/>
      <c r="E157" s="542"/>
      <c r="F157" s="543"/>
      <c r="G157" s="543"/>
      <c r="H157" s="542"/>
      <c r="I157" s="542"/>
      <c r="J157" s="542"/>
      <c r="K157" s="542"/>
      <c r="L157" s="542"/>
      <c r="M157" s="542"/>
      <c r="N157" s="524"/>
      <c r="O157" s="524"/>
      <c r="P157" s="560"/>
      <c r="T157" s="537"/>
    </row>
    <row r="158" spans="4:20" s="502" customFormat="1" x14ac:dyDescent="0.2">
      <c r="D158" s="514"/>
      <c r="E158" s="542"/>
      <c r="F158" s="543"/>
      <c r="G158" s="543"/>
      <c r="H158" s="542"/>
      <c r="I158" s="542"/>
      <c r="J158" s="542"/>
      <c r="K158" s="542"/>
      <c r="L158" s="542"/>
      <c r="M158" s="542"/>
      <c r="N158" s="524"/>
      <c r="O158" s="524"/>
      <c r="P158" s="560"/>
      <c r="T158" s="537"/>
    </row>
    <row r="159" spans="4:20" s="502" customFormat="1" x14ac:dyDescent="0.2">
      <c r="D159" s="514"/>
      <c r="E159" s="542"/>
      <c r="F159" s="543"/>
      <c r="G159" s="543"/>
      <c r="H159" s="542"/>
      <c r="I159" s="542"/>
      <c r="J159" s="542"/>
      <c r="K159" s="542"/>
      <c r="L159" s="542"/>
      <c r="M159" s="542"/>
      <c r="N159" s="524"/>
      <c r="O159" s="524"/>
      <c r="P159" s="560"/>
      <c r="T159" s="537"/>
    </row>
    <row r="160" spans="4:20" s="502" customFormat="1" x14ac:dyDescent="0.2">
      <c r="D160" s="514"/>
      <c r="E160" s="542"/>
      <c r="F160" s="543"/>
      <c r="G160" s="543"/>
      <c r="H160" s="542"/>
      <c r="I160" s="542"/>
      <c r="J160" s="542"/>
      <c r="K160" s="542"/>
      <c r="L160" s="542"/>
      <c r="M160" s="542"/>
      <c r="N160" s="524"/>
      <c r="O160" s="524"/>
      <c r="P160" s="560"/>
      <c r="T160" s="537"/>
    </row>
    <row r="161" spans="4:20" s="502" customFormat="1" x14ac:dyDescent="0.2">
      <c r="D161" s="514"/>
      <c r="E161" s="542"/>
      <c r="F161" s="543"/>
      <c r="G161" s="543"/>
      <c r="H161" s="542"/>
      <c r="I161" s="542"/>
      <c r="J161" s="542"/>
      <c r="K161" s="542"/>
      <c r="L161" s="542"/>
      <c r="M161" s="542"/>
      <c r="N161" s="524"/>
      <c r="O161" s="524"/>
      <c r="P161" s="560"/>
      <c r="T161" s="537"/>
    </row>
    <row r="162" spans="4:20" s="502" customFormat="1" x14ac:dyDescent="0.2">
      <c r="D162" s="514"/>
      <c r="E162" s="542"/>
      <c r="F162" s="543"/>
      <c r="G162" s="543"/>
      <c r="H162" s="542"/>
      <c r="I162" s="542"/>
      <c r="J162" s="542"/>
      <c r="K162" s="542"/>
      <c r="L162" s="542"/>
      <c r="M162" s="542"/>
      <c r="N162" s="524"/>
      <c r="O162" s="524"/>
      <c r="P162" s="560"/>
      <c r="T162" s="537"/>
    </row>
    <row r="163" spans="4:20" s="502" customFormat="1" x14ac:dyDescent="0.2">
      <c r="D163" s="514"/>
      <c r="E163" s="542"/>
      <c r="F163" s="543"/>
      <c r="G163" s="543"/>
      <c r="H163" s="542"/>
      <c r="I163" s="542"/>
      <c r="J163" s="542"/>
      <c r="K163" s="542"/>
      <c r="L163" s="542"/>
      <c r="M163" s="542"/>
      <c r="N163" s="524"/>
      <c r="O163" s="524"/>
      <c r="P163" s="560"/>
      <c r="T163" s="537"/>
    </row>
    <row r="164" spans="4:20" s="502" customFormat="1" x14ac:dyDescent="0.2">
      <c r="D164" s="514"/>
      <c r="E164" s="542"/>
      <c r="F164" s="543"/>
      <c r="G164" s="543"/>
      <c r="H164" s="542"/>
      <c r="I164" s="542"/>
      <c r="J164" s="542"/>
      <c r="K164" s="542"/>
      <c r="L164" s="542"/>
      <c r="M164" s="542"/>
      <c r="N164" s="524"/>
      <c r="O164" s="524"/>
      <c r="P164" s="560"/>
      <c r="T164" s="537"/>
    </row>
    <row r="165" spans="4:20" s="502" customFormat="1" x14ac:dyDescent="0.2">
      <c r="D165" s="514"/>
      <c r="E165" s="542"/>
      <c r="F165" s="543"/>
      <c r="G165" s="543"/>
      <c r="H165" s="542"/>
      <c r="I165" s="542"/>
      <c r="J165" s="542"/>
      <c r="K165" s="542"/>
      <c r="L165" s="542"/>
      <c r="M165" s="542"/>
      <c r="N165" s="524"/>
      <c r="O165" s="524"/>
      <c r="P165" s="560"/>
      <c r="T165" s="537"/>
    </row>
    <row r="166" spans="4:20" s="502" customFormat="1" x14ac:dyDescent="0.2">
      <c r="D166" s="514"/>
      <c r="E166" s="542"/>
      <c r="F166" s="543"/>
      <c r="G166" s="543"/>
      <c r="H166" s="542"/>
      <c r="I166" s="542"/>
      <c r="J166" s="542"/>
      <c r="K166" s="542"/>
      <c r="L166" s="542"/>
      <c r="M166" s="542"/>
      <c r="N166" s="524"/>
      <c r="O166" s="524"/>
      <c r="P166" s="560"/>
      <c r="T166" s="537"/>
    </row>
    <row r="167" spans="4:20" s="502" customFormat="1" x14ac:dyDescent="0.2">
      <c r="D167" s="514"/>
      <c r="E167" s="542"/>
      <c r="F167" s="543"/>
      <c r="G167" s="543"/>
      <c r="H167" s="542"/>
      <c r="I167" s="542"/>
      <c r="J167" s="542"/>
      <c r="K167" s="542"/>
      <c r="L167" s="542"/>
      <c r="M167" s="542"/>
      <c r="N167" s="524"/>
      <c r="O167" s="524"/>
      <c r="P167" s="560"/>
      <c r="T167" s="537"/>
    </row>
    <row r="168" spans="4:20" s="502" customFormat="1" x14ac:dyDescent="0.2">
      <c r="D168" s="514"/>
      <c r="E168" s="542"/>
      <c r="F168" s="543"/>
      <c r="G168" s="543"/>
      <c r="H168" s="542"/>
      <c r="I168" s="542"/>
      <c r="J168" s="542"/>
      <c r="K168" s="542"/>
      <c r="L168" s="542"/>
      <c r="M168" s="542"/>
      <c r="N168" s="524"/>
      <c r="O168" s="524"/>
      <c r="P168" s="560"/>
      <c r="T168" s="537"/>
    </row>
    <row r="169" spans="4:20" s="502" customFormat="1" x14ac:dyDescent="0.2">
      <c r="D169" s="514"/>
      <c r="E169" s="542"/>
      <c r="F169" s="543"/>
      <c r="G169" s="543"/>
      <c r="H169" s="542"/>
      <c r="I169" s="542"/>
      <c r="J169" s="542"/>
      <c r="K169" s="542"/>
      <c r="L169" s="542"/>
      <c r="M169" s="542"/>
      <c r="N169" s="524"/>
      <c r="O169" s="524"/>
      <c r="P169" s="560"/>
      <c r="T169" s="537"/>
    </row>
    <row r="170" spans="4:20" s="502" customFormat="1" x14ac:dyDescent="0.2">
      <c r="D170" s="514"/>
      <c r="E170" s="542"/>
      <c r="F170" s="543"/>
      <c r="G170" s="543"/>
      <c r="H170" s="542"/>
      <c r="I170" s="542"/>
      <c r="J170" s="542"/>
      <c r="K170" s="542"/>
      <c r="L170" s="542"/>
      <c r="M170" s="542"/>
      <c r="N170" s="524"/>
      <c r="O170" s="524"/>
      <c r="P170" s="560"/>
      <c r="T170" s="537"/>
    </row>
    <row r="171" spans="4:20" s="502" customFormat="1" x14ac:dyDescent="0.2">
      <c r="D171" s="514"/>
      <c r="E171" s="542"/>
      <c r="F171" s="543"/>
      <c r="G171" s="543"/>
      <c r="H171" s="542"/>
      <c r="I171" s="542"/>
      <c r="J171" s="542"/>
      <c r="K171" s="542"/>
      <c r="L171" s="542"/>
      <c r="M171" s="542"/>
      <c r="N171" s="524"/>
      <c r="O171" s="524"/>
      <c r="P171" s="560"/>
      <c r="T171" s="537"/>
    </row>
    <row r="172" spans="4:20" s="502" customFormat="1" x14ac:dyDescent="0.2">
      <c r="D172" s="514"/>
      <c r="E172" s="542"/>
      <c r="F172" s="543"/>
      <c r="G172" s="543"/>
      <c r="H172" s="542"/>
      <c r="I172" s="542"/>
      <c r="J172" s="542"/>
      <c r="K172" s="542"/>
      <c r="L172" s="542"/>
      <c r="M172" s="542"/>
      <c r="N172" s="524"/>
      <c r="O172" s="524"/>
      <c r="P172" s="560"/>
      <c r="T172" s="537"/>
    </row>
    <row r="173" spans="4:20" s="502" customFormat="1" x14ac:dyDescent="0.2">
      <c r="D173" s="514"/>
      <c r="E173" s="542"/>
      <c r="F173" s="543"/>
      <c r="G173" s="543"/>
      <c r="H173" s="542"/>
      <c r="I173" s="542"/>
      <c r="J173" s="542"/>
      <c r="K173" s="542"/>
      <c r="L173" s="542"/>
      <c r="M173" s="542"/>
      <c r="N173" s="524"/>
      <c r="O173" s="524"/>
      <c r="P173" s="560"/>
      <c r="T173" s="537"/>
    </row>
    <row r="174" spans="4:20" s="502" customFormat="1" x14ac:dyDescent="0.2">
      <c r="D174" s="514"/>
      <c r="E174" s="542"/>
      <c r="F174" s="543"/>
      <c r="G174" s="543"/>
      <c r="H174" s="542"/>
      <c r="I174" s="542"/>
      <c r="J174" s="542"/>
      <c r="K174" s="542"/>
      <c r="L174" s="542"/>
      <c r="M174" s="542"/>
      <c r="N174" s="524"/>
      <c r="O174" s="524"/>
      <c r="P174" s="560"/>
      <c r="T174" s="537"/>
    </row>
    <row r="175" spans="4:20" s="502" customFormat="1" x14ac:dyDescent="0.2">
      <c r="D175" s="514"/>
      <c r="E175" s="542"/>
      <c r="F175" s="543"/>
      <c r="G175" s="543"/>
      <c r="H175" s="542"/>
      <c r="I175" s="542"/>
      <c r="J175" s="542"/>
      <c r="K175" s="542"/>
      <c r="L175" s="542"/>
      <c r="M175" s="542"/>
      <c r="N175" s="524"/>
      <c r="O175" s="524"/>
      <c r="P175" s="560"/>
      <c r="T175" s="537"/>
    </row>
    <row r="176" spans="4:20" s="502" customFormat="1" x14ac:dyDescent="0.2">
      <c r="D176" s="514"/>
      <c r="E176" s="542"/>
      <c r="F176" s="543"/>
      <c r="G176" s="543"/>
      <c r="H176" s="542"/>
      <c r="I176" s="542"/>
      <c r="J176" s="542"/>
      <c r="K176" s="542"/>
      <c r="L176" s="542"/>
      <c r="M176" s="542"/>
      <c r="N176" s="524"/>
      <c r="O176" s="524"/>
      <c r="P176" s="560"/>
      <c r="T176" s="537"/>
    </row>
    <row r="177" spans="4:20" s="502" customFormat="1" x14ac:dyDescent="0.2">
      <c r="D177" s="514"/>
      <c r="E177" s="542"/>
      <c r="F177" s="543"/>
      <c r="G177" s="543"/>
      <c r="H177" s="542"/>
      <c r="I177" s="542"/>
      <c r="J177" s="542"/>
      <c r="K177" s="542"/>
      <c r="L177" s="542"/>
      <c r="M177" s="542"/>
      <c r="N177" s="524"/>
      <c r="O177" s="524"/>
      <c r="P177" s="560"/>
      <c r="T177" s="537"/>
    </row>
    <row r="178" spans="4:20" s="502" customFormat="1" x14ac:dyDescent="0.2">
      <c r="D178" s="514"/>
      <c r="E178" s="542"/>
      <c r="F178" s="543"/>
      <c r="G178" s="543"/>
      <c r="H178" s="542"/>
      <c r="I178" s="542"/>
      <c r="J178" s="542"/>
      <c r="K178" s="542"/>
      <c r="L178" s="542"/>
      <c r="M178" s="542"/>
      <c r="N178" s="524"/>
      <c r="O178" s="524"/>
      <c r="P178" s="560"/>
      <c r="T178" s="537"/>
    </row>
    <row r="179" spans="4:20" s="502" customFormat="1" x14ac:dyDescent="0.2">
      <c r="D179" s="514"/>
      <c r="E179" s="542"/>
      <c r="F179" s="543"/>
      <c r="G179" s="543"/>
      <c r="H179" s="542"/>
      <c r="I179" s="542"/>
      <c r="J179" s="542"/>
      <c r="K179" s="542"/>
      <c r="L179" s="542"/>
      <c r="M179" s="542"/>
      <c r="N179" s="524"/>
      <c r="O179" s="524"/>
      <c r="P179" s="560"/>
      <c r="T179" s="537"/>
    </row>
    <row r="180" spans="4:20" s="502" customFormat="1" x14ac:dyDescent="0.2">
      <c r="D180" s="514"/>
      <c r="E180" s="542"/>
      <c r="F180" s="543"/>
      <c r="G180" s="543"/>
      <c r="H180" s="542"/>
      <c r="I180" s="542"/>
      <c r="J180" s="542"/>
      <c r="K180" s="542"/>
      <c r="L180" s="542"/>
      <c r="M180" s="542"/>
      <c r="N180" s="524"/>
      <c r="O180" s="524"/>
      <c r="P180" s="560"/>
      <c r="T180" s="537"/>
    </row>
    <row r="181" spans="4:20" s="502" customFormat="1" x14ac:dyDescent="0.2">
      <c r="D181" s="514"/>
      <c r="E181" s="542"/>
      <c r="F181" s="543"/>
      <c r="G181" s="543"/>
      <c r="H181" s="542"/>
      <c r="I181" s="542"/>
      <c r="J181" s="542"/>
      <c r="K181" s="542"/>
      <c r="L181" s="542"/>
      <c r="M181" s="542"/>
      <c r="N181" s="524"/>
      <c r="O181" s="524"/>
      <c r="P181" s="560"/>
      <c r="T181" s="537"/>
    </row>
    <row r="182" spans="4:20" s="502" customFormat="1" x14ac:dyDescent="0.2">
      <c r="D182" s="514"/>
      <c r="E182" s="542"/>
      <c r="F182" s="543"/>
      <c r="G182" s="543"/>
      <c r="H182" s="542"/>
      <c r="I182" s="542"/>
      <c r="J182" s="542"/>
      <c r="K182" s="542"/>
      <c r="L182" s="542"/>
      <c r="M182" s="542"/>
      <c r="N182" s="524"/>
      <c r="O182" s="524"/>
      <c r="P182" s="560"/>
      <c r="T182" s="537"/>
    </row>
    <row r="183" spans="4:20" s="502" customFormat="1" x14ac:dyDescent="0.2">
      <c r="D183" s="514"/>
      <c r="E183" s="542"/>
      <c r="F183" s="543"/>
      <c r="G183" s="543"/>
      <c r="H183" s="542"/>
      <c r="I183" s="542"/>
      <c r="J183" s="542"/>
      <c r="K183" s="542"/>
      <c r="L183" s="542"/>
      <c r="M183" s="542"/>
      <c r="N183" s="524"/>
      <c r="O183" s="524"/>
      <c r="P183" s="560"/>
      <c r="T183" s="537"/>
    </row>
    <row r="184" spans="4:20" s="502" customFormat="1" x14ac:dyDescent="0.2">
      <c r="D184" s="514"/>
      <c r="E184" s="542"/>
      <c r="F184" s="543"/>
      <c r="G184" s="543"/>
      <c r="H184" s="542"/>
      <c r="I184" s="542"/>
      <c r="J184" s="542"/>
      <c r="K184" s="542"/>
      <c r="L184" s="542"/>
      <c r="M184" s="542"/>
      <c r="N184" s="524"/>
      <c r="O184" s="524"/>
      <c r="P184" s="560"/>
      <c r="T184" s="537"/>
    </row>
    <row r="185" spans="4:20" s="502" customFormat="1" x14ac:dyDescent="0.2">
      <c r="D185" s="514"/>
      <c r="E185" s="542"/>
      <c r="F185" s="543"/>
      <c r="G185" s="543"/>
      <c r="H185" s="542"/>
      <c r="I185" s="542"/>
      <c r="J185" s="542"/>
      <c r="K185" s="542"/>
      <c r="L185" s="542"/>
      <c r="M185" s="542"/>
      <c r="N185" s="524"/>
      <c r="O185" s="524"/>
      <c r="P185" s="560"/>
      <c r="T185" s="537"/>
    </row>
    <row r="186" spans="4:20" s="502" customFormat="1" x14ac:dyDescent="0.2">
      <c r="D186" s="514"/>
      <c r="E186" s="542"/>
      <c r="F186" s="543"/>
      <c r="G186" s="543"/>
      <c r="H186" s="542"/>
      <c r="I186" s="542"/>
      <c r="J186" s="542"/>
      <c r="K186" s="542"/>
      <c r="L186" s="542"/>
      <c r="M186" s="542"/>
      <c r="N186" s="524"/>
      <c r="O186" s="524"/>
      <c r="P186" s="560"/>
      <c r="T186" s="537"/>
    </row>
    <row r="187" spans="4:20" s="502" customFormat="1" x14ac:dyDescent="0.2">
      <c r="D187" s="514"/>
      <c r="E187" s="542"/>
      <c r="F187" s="543"/>
      <c r="G187" s="543"/>
      <c r="H187" s="542"/>
      <c r="I187" s="542"/>
      <c r="J187" s="542"/>
      <c r="K187" s="542"/>
      <c r="L187" s="542"/>
      <c r="M187" s="542"/>
      <c r="N187" s="524"/>
      <c r="O187" s="524"/>
      <c r="P187" s="560"/>
      <c r="T187" s="537"/>
    </row>
    <row r="188" spans="4:20" s="502" customFormat="1" x14ac:dyDescent="0.2">
      <c r="D188" s="514"/>
      <c r="E188" s="542"/>
      <c r="F188" s="543"/>
      <c r="G188" s="543"/>
      <c r="H188" s="542"/>
      <c r="I188" s="542"/>
      <c r="J188" s="542"/>
      <c r="K188" s="542"/>
      <c r="L188" s="542"/>
      <c r="M188" s="542"/>
      <c r="N188" s="524"/>
      <c r="O188" s="524"/>
      <c r="P188" s="560"/>
      <c r="T188" s="537"/>
    </row>
    <row r="189" spans="4:20" s="502" customFormat="1" x14ac:dyDescent="0.2">
      <c r="D189" s="514"/>
      <c r="E189" s="542"/>
      <c r="F189" s="543"/>
      <c r="G189" s="543"/>
      <c r="H189" s="542"/>
      <c r="I189" s="542"/>
      <c r="J189" s="542"/>
      <c r="K189" s="542"/>
      <c r="L189" s="542"/>
      <c r="M189" s="542"/>
      <c r="N189" s="524"/>
      <c r="O189" s="524"/>
      <c r="P189" s="560"/>
      <c r="T189" s="537"/>
    </row>
    <row r="190" spans="4:20" s="502" customFormat="1" x14ac:dyDescent="0.2">
      <c r="D190" s="514"/>
      <c r="E190" s="542"/>
      <c r="F190" s="543"/>
      <c r="G190" s="543"/>
      <c r="H190" s="542"/>
      <c r="I190" s="542"/>
      <c r="J190" s="542"/>
      <c r="K190" s="542"/>
      <c r="L190" s="542"/>
      <c r="M190" s="542"/>
      <c r="N190" s="524"/>
      <c r="O190" s="524"/>
      <c r="P190" s="560"/>
      <c r="T190" s="537"/>
    </row>
    <row r="191" spans="4:20" s="502" customFormat="1" x14ac:dyDescent="0.2">
      <c r="D191" s="514"/>
      <c r="E191" s="542"/>
      <c r="F191" s="543"/>
      <c r="G191" s="543"/>
      <c r="H191" s="542"/>
      <c r="I191" s="542"/>
      <c r="J191" s="542"/>
      <c r="K191" s="542"/>
      <c r="L191" s="542"/>
      <c r="M191" s="542"/>
      <c r="N191" s="524"/>
      <c r="O191" s="524"/>
      <c r="P191" s="560"/>
      <c r="T191" s="537"/>
    </row>
    <row r="192" spans="4:20" s="502" customFormat="1" x14ac:dyDescent="0.2">
      <c r="D192" s="514"/>
      <c r="E192" s="542"/>
      <c r="F192" s="543"/>
      <c r="G192" s="543"/>
      <c r="H192" s="542"/>
      <c r="I192" s="542"/>
      <c r="J192" s="542"/>
      <c r="K192" s="542"/>
      <c r="L192" s="542"/>
      <c r="M192" s="542"/>
      <c r="N192" s="524"/>
      <c r="O192" s="524"/>
      <c r="P192" s="560"/>
      <c r="T192" s="537"/>
    </row>
    <row r="193" spans="4:20" s="502" customFormat="1" x14ac:dyDescent="0.2">
      <c r="D193" s="514"/>
      <c r="E193" s="542"/>
      <c r="F193" s="543"/>
      <c r="G193" s="543"/>
      <c r="H193" s="542"/>
      <c r="I193" s="542"/>
      <c r="J193" s="542"/>
      <c r="K193" s="542"/>
      <c r="L193" s="542"/>
      <c r="M193" s="542"/>
      <c r="N193" s="524"/>
      <c r="O193" s="524"/>
      <c r="P193" s="560"/>
      <c r="T193" s="537"/>
    </row>
    <row r="194" spans="4:20" s="502" customFormat="1" x14ac:dyDescent="0.2">
      <c r="D194" s="514"/>
      <c r="E194" s="542"/>
      <c r="F194" s="543"/>
      <c r="G194" s="543"/>
      <c r="H194" s="542"/>
      <c r="I194" s="542"/>
      <c r="J194" s="542"/>
      <c r="K194" s="542"/>
      <c r="L194" s="542"/>
      <c r="M194" s="542"/>
      <c r="N194" s="524"/>
      <c r="O194" s="524"/>
      <c r="P194" s="560"/>
      <c r="T194" s="537"/>
    </row>
    <row r="195" spans="4:20" s="502" customFormat="1" x14ac:dyDescent="0.2">
      <c r="D195" s="514"/>
      <c r="E195" s="542"/>
      <c r="F195" s="543"/>
      <c r="G195" s="543"/>
      <c r="H195" s="542"/>
      <c r="I195" s="542"/>
      <c r="J195" s="542"/>
      <c r="K195" s="542"/>
      <c r="L195" s="542"/>
      <c r="M195" s="542"/>
      <c r="N195" s="524"/>
      <c r="O195" s="524"/>
      <c r="P195" s="560"/>
      <c r="T195" s="537"/>
    </row>
    <row r="196" spans="4:20" s="502" customFormat="1" x14ac:dyDescent="0.2">
      <c r="D196" s="514"/>
      <c r="E196" s="542"/>
      <c r="F196" s="543"/>
      <c r="G196" s="543"/>
      <c r="H196" s="542"/>
      <c r="I196" s="542"/>
      <c r="J196" s="542"/>
      <c r="K196" s="542"/>
      <c r="L196" s="542"/>
      <c r="M196" s="542"/>
      <c r="N196" s="524"/>
      <c r="O196" s="524"/>
      <c r="P196" s="560"/>
      <c r="T196" s="537"/>
    </row>
    <row r="197" spans="4:20" s="502" customFormat="1" x14ac:dyDescent="0.2">
      <c r="D197" s="514"/>
      <c r="E197" s="542"/>
      <c r="F197" s="543"/>
      <c r="G197" s="543"/>
      <c r="H197" s="542"/>
      <c r="I197" s="542"/>
      <c r="J197" s="542"/>
      <c r="K197" s="542"/>
      <c r="L197" s="542"/>
      <c r="M197" s="542"/>
      <c r="N197" s="524"/>
      <c r="O197" s="524"/>
      <c r="P197" s="560"/>
      <c r="T197" s="537"/>
    </row>
    <row r="198" spans="4:20" s="502" customFormat="1" x14ac:dyDescent="0.2">
      <c r="D198" s="514"/>
      <c r="E198" s="542"/>
      <c r="F198" s="543"/>
      <c r="G198" s="543"/>
      <c r="H198" s="542"/>
      <c r="I198" s="542"/>
      <c r="J198" s="542"/>
      <c r="K198" s="542"/>
      <c r="L198" s="542"/>
      <c r="M198" s="542"/>
      <c r="N198" s="524"/>
      <c r="O198" s="524"/>
      <c r="P198" s="560"/>
      <c r="T198" s="537"/>
    </row>
    <row r="199" spans="4:20" s="502" customFormat="1" x14ac:dyDescent="0.2">
      <c r="D199" s="514"/>
      <c r="E199" s="542"/>
      <c r="F199" s="543"/>
      <c r="G199" s="543"/>
      <c r="H199" s="542"/>
      <c r="I199" s="542"/>
      <c r="J199" s="542"/>
      <c r="K199" s="542"/>
      <c r="L199" s="542"/>
      <c r="M199" s="542"/>
      <c r="N199" s="524"/>
      <c r="O199" s="524"/>
      <c r="P199" s="560"/>
      <c r="T199" s="537"/>
    </row>
    <row r="200" spans="4:20" s="502" customFormat="1" x14ac:dyDescent="0.2">
      <c r="D200" s="514"/>
      <c r="E200" s="542"/>
      <c r="F200" s="543"/>
      <c r="G200" s="543"/>
      <c r="H200" s="542"/>
      <c r="I200" s="542"/>
      <c r="J200" s="542"/>
      <c r="K200" s="542"/>
      <c r="L200" s="542"/>
      <c r="M200" s="542"/>
      <c r="N200" s="524"/>
      <c r="O200" s="524"/>
      <c r="P200" s="560"/>
      <c r="T200" s="537"/>
    </row>
    <row r="201" spans="4:20" s="502" customFormat="1" x14ac:dyDescent="0.2">
      <c r="D201" s="514"/>
      <c r="E201" s="542"/>
      <c r="F201" s="543"/>
      <c r="G201" s="543"/>
      <c r="H201" s="542"/>
      <c r="I201" s="542"/>
      <c r="J201" s="542"/>
      <c r="K201" s="542"/>
      <c r="L201" s="542"/>
      <c r="M201" s="542"/>
      <c r="N201" s="524"/>
      <c r="O201" s="524"/>
      <c r="P201" s="560"/>
      <c r="T201" s="537"/>
    </row>
    <row r="202" spans="4:20" s="502" customFormat="1" x14ac:dyDescent="0.2">
      <c r="D202" s="514"/>
      <c r="E202" s="542"/>
      <c r="F202" s="543"/>
      <c r="G202" s="543"/>
      <c r="H202" s="542"/>
      <c r="I202" s="542"/>
      <c r="J202" s="542"/>
      <c r="K202" s="542"/>
      <c r="L202" s="542"/>
      <c r="M202" s="542"/>
      <c r="N202" s="524"/>
      <c r="O202" s="524"/>
      <c r="P202" s="560"/>
      <c r="T202" s="537"/>
    </row>
    <row r="203" spans="4:20" s="502" customFormat="1" x14ac:dyDescent="0.2">
      <c r="D203" s="514"/>
      <c r="E203" s="542"/>
      <c r="F203" s="543"/>
      <c r="G203" s="543"/>
      <c r="H203" s="542"/>
      <c r="I203" s="542"/>
      <c r="J203" s="542"/>
      <c r="K203" s="542"/>
      <c r="L203" s="542"/>
      <c r="M203" s="542"/>
      <c r="N203" s="524"/>
      <c r="O203" s="524"/>
      <c r="P203" s="560"/>
      <c r="T203" s="537"/>
    </row>
    <row r="204" spans="4:20" s="502" customFormat="1" x14ac:dyDescent="0.2">
      <c r="D204" s="514"/>
      <c r="E204" s="542"/>
      <c r="F204" s="543"/>
      <c r="G204" s="543"/>
      <c r="H204" s="542"/>
      <c r="I204" s="542"/>
      <c r="J204" s="542"/>
      <c r="K204" s="542"/>
      <c r="L204" s="542"/>
      <c r="M204" s="542"/>
      <c r="N204" s="524"/>
      <c r="O204" s="524"/>
      <c r="P204" s="560"/>
      <c r="T204" s="537"/>
    </row>
    <row r="205" spans="4:20" s="502" customFormat="1" x14ac:dyDescent="0.2">
      <c r="D205" s="514"/>
      <c r="E205" s="542"/>
      <c r="F205" s="543"/>
      <c r="G205" s="543"/>
      <c r="H205" s="542"/>
      <c r="I205" s="542"/>
      <c r="J205" s="542"/>
      <c r="K205" s="542"/>
      <c r="L205" s="542"/>
      <c r="M205" s="542"/>
      <c r="N205" s="524"/>
      <c r="O205" s="524"/>
      <c r="P205" s="560"/>
      <c r="T205" s="537"/>
    </row>
    <row r="206" spans="4:20" s="502" customFormat="1" x14ac:dyDescent="0.2">
      <c r="D206" s="514"/>
      <c r="E206" s="542"/>
      <c r="F206" s="543"/>
      <c r="G206" s="543"/>
      <c r="H206" s="542"/>
      <c r="I206" s="542"/>
      <c r="J206" s="542"/>
      <c r="K206" s="542"/>
      <c r="L206" s="542"/>
      <c r="M206" s="542"/>
      <c r="N206" s="524"/>
      <c r="O206" s="524"/>
      <c r="P206" s="560"/>
      <c r="T206" s="537"/>
    </row>
    <row r="207" spans="4:20" s="502" customFormat="1" x14ac:dyDescent="0.2">
      <c r="D207" s="514"/>
      <c r="E207" s="542"/>
      <c r="F207" s="543"/>
      <c r="G207" s="543"/>
      <c r="H207" s="542"/>
      <c r="I207" s="542"/>
      <c r="J207" s="542"/>
      <c r="K207" s="542"/>
      <c r="L207" s="542"/>
      <c r="M207" s="542"/>
      <c r="N207" s="524"/>
      <c r="O207" s="524"/>
      <c r="P207" s="560"/>
      <c r="T207" s="537"/>
    </row>
    <row r="208" spans="4:20" s="502" customFormat="1" x14ac:dyDescent="0.2">
      <c r="D208" s="514"/>
      <c r="E208" s="542"/>
      <c r="F208" s="543"/>
      <c r="G208" s="543"/>
      <c r="H208" s="542"/>
      <c r="I208" s="542"/>
      <c r="J208" s="542"/>
      <c r="K208" s="542"/>
      <c r="L208" s="542"/>
      <c r="M208" s="542"/>
      <c r="N208" s="524"/>
      <c r="O208" s="524"/>
      <c r="P208" s="560"/>
      <c r="T208" s="537"/>
    </row>
    <row r="209" spans="4:20" s="502" customFormat="1" x14ac:dyDescent="0.2">
      <c r="D209" s="514"/>
      <c r="E209" s="542"/>
      <c r="F209" s="543"/>
      <c r="G209" s="543"/>
      <c r="H209" s="542"/>
      <c r="I209" s="542"/>
      <c r="J209" s="542"/>
      <c r="K209" s="542"/>
      <c r="L209" s="542"/>
      <c r="M209" s="542"/>
      <c r="N209" s="524"/>
      <c r="O209" s="524"/>
      <c r="P209" s="560"/>
      <c r="T209" s="529"/>
    </row>
    <row r="210" spans="4:20" s="502" customFormat="1" x14ac:dyDescent="0.2">
      <c r="D210" s="514"/>
      <c r="E210" s="542"/>
      <c r="F210" s="543"/>
      <c r="G210" s="543"/>
      <c r="H210" s="542"/>
      <c r="I210" s="542"/>
      <c r="J210" s="542"/>
      <c r="K210" s="542"/>
      <c r="L210" s="542"/>
      <c r="M210" s="542"/>
      <c r="N210" s="524"/>
      <c r="O210" s="524"/>
      <c r="P210" s="560"/>
      <c r="T210" s="529"/>
    </row>
    <row r="211" spans="4:20" s="502" customFormat="1" x14ac:dyDescent="0.2">
      <c r="D211" s="514"/>
      <c r="E211" s="542"/>
      <c r="F211" s="543"/>
      <c r="G211" s="543"/>
      <c r="H211" s="542"/>
      <c r="I211" s="542"/>
      <c r="J211" s="542"/>
      <c r="K211" s="542"/>
      <c r="L211" s="542"/>
      <c r="M211" s="542"/>
      <c r="N211" s="524"/>
      <c r="O211" s="524"/>
      <c r="P211" s="560"/>
      <c r="T211" s="529"/>
    </row>
    <row r="212" spans="4:20" s="502" customFormat="1" x14ac:dyDescent="0.2">
      <c r="D212" s="514"/>
      <c r="E212" s="542"/>
      <c r="F212" s="543"/>
      <c r="G212" s="543"/>
      <c r="H212" s="542"/>
      <c r="I212" s="542"/>
      <c r="J212" s="542"/>
      <c r="K212" s="542"/>
      <c r="L212" s="542"/>
      <c r="M212" s="542"/>
      <c r="N212" s="524"/>
      <c r="O212" s="524"/>
      <c r="P212" s="560"/>
      <c r="T212" s="529"/>
    </row>
    <row r="213" spans="4:20" s="502" customFormat="1" x14ac:dyDescent="0.2">
      <c r="D213" s="514"/>
      <c r="E213" s="542"/>
      <c r="F213" s="543"/>
      <c r="G213" s="543"/>
      <c r="H213" s="542"/>
      <c r="I213" s="542"/>
      <c r="J213" s="542"/>
      <c r="K213" s="542"/>
      <c r="L213" s="542"/>
      <c r="M213" s="542"/>
      <c r="N213" s="524"/>
      <c r="O213" s="524"/>
      <c r="P213" s="560"/>
      <c r="T213" s="529"/>
    </row>
    <row r="214" spans="4:20" s="502" customFormat="1" x14ac:dyDescent="0.2">
      <c r="D214" s="514"/>
      <c r="E214" s="542"/>
      <c r="F214" s="543"/>
      <c r="G214" s="543"/>
      <c r="H214" s="542"/>
      <c r="I214" s="542"/>
      <c r="J214" s="542"/>
      <c r="K214" s="542"/>
      <c r="L214" s="542"/>
      <c r="M214" s="542"/>
      <c r="N214" s="524"/>
      <c r="O214" s="524"/>
      <c r="P214" s="560"/>
      <c r="T214" s="529"/>
    </row>
    <row r="215" spans="4:20" s="502" customFormat="1" x14ac:dyDescent="0.2">
      <c r="D215" s="514"/>
      <c r="E215" s="542"/>
      <c r="F215" s="543"/>
      <c r="G215" s="543"/>
      <c r="H215" s="542"/>
      <c r="I215" s="542"/>
      <c r="J215" s="542"/>
      <c r="K215" s="542"/>
      <c r="L215" s="542"/>
      <c r="M215" s="542"/>
      <c r="N215" s="524"/>
      <c r="O215" s="524"/>
      <c r="P215" s="560"/>
      <c r="T215" s="529"/>
    </row>
    <row r="216" spans="4:20" s="502" customFormat="1" x14ac:dyDescent="0.2">
      <c r="D216" s="514"/>
      <c r="E216" s="542"/>
      <c r="F216" s="543"/>
      <c r="G216" s="543"/>
      <c r="H216" s="542"/>
      <c r="I216" s="542"/>
      <c r="J216" s="542"/>
      <c r="K216" s="542"/>
      <c r="L216" s="542"/>
      <c r="M216" s="542"/>
      <c r="N216" s="524"/>
      <c r="O216" s="524"/>
      <c r="P216" s="560"/>
      <c r="T216" s="529"/>
    </row>
    <row r="217" spans="4:20" s="502" customFormat="1" x14ac:dyDescent="0.2">
      <c r="D217" s="514"/>
      <c r="E217" s="542"/>
      <c r="F217" s="543"/>
      <c r="G217" s="543"/>
      <c r="H217" s="542"/>
      <c r="I217" s="542"/>
      <c r="J217" s="542"/>
      <c r="K217" s="542"/>
      <c r="L217" s="542"/>
      <c r="M217" s="542"/>
      <c r="N217" s="524"/>
      <c r="O217" s="524"/>
      <c r="P217" s="560"/>
      <c r="T217" s="529"/>
    </row>
    <row r="218" spans="4:20" s="502" customFormat="1" x14ac:dyDescent="0.2">
      <c r="D218" s="514"/>
      <c r="E218" s="542"/>
      <c r="F218" s="543"/>
      <c r="G218" s="543"/>
      <c r="H218" s="542"/>
      <c r="I218" s="542"/>
      <c r="J218" s="542"/>
      <c r="K218" s="542"/>
      <c r="L218" s="542"/>
      <c r="M218" s="542"/>
      <c r="N218" s="524"/>
      <c r="O218" s="524"/>
      <c r="P218" s="560"/>
      <c r="T218" s="529"/>
    </row>
    <row r="219" spans="4:20" s="502" customFormat="1" x14ac:dyDescent="0.2">
      <c r="D219" s="514"/>
      <c r="E219" s="542"/>
      <c r="F219" s="543"/>
      <c r="G219" s="543"/>
      <c r="H219" s="542"/>
      <c r="I219" s="542"/>
      <c r="J219" s="542"/>
      <c r="K219" s="542"/>
      <c r="L219" s="542"/>
      <c r="M219" s="542"/>
      <c r="N219" s="524"/>
      <c r="O219" s="524"/>
      <c r="P219" s="560"/>
      <c r="T219" s="529"/>
    </row>
    <row r="220" spans="4:20" s="502" customFormat="1" x14ac:dyDescent="0.2">
      <c r="D220" s="514"/>
      <c r="E220" s="542"/>
      <c r="F220" s="543"/>
      <c r="G220" s="543"/>
      <c r="H220" s="542"/>
      <c r="I220" s="542"/>
      <c r="J220" s="542"/>
      <c r="K220" s="542"/>
      <c r="L220" s="542"/>
      <c r="M220" s="542"/>
      <c r="N220" s="524"/>
      <c r="O220" s="524"/>
      <c r="P220" s="560"/>
      <c r="T220" s="529"/>
    </row>
    <row r="221" spans="4:20" s="502" customFormat="1" x14ac:dyDescent="0.2">
      <c r="D221" s="514"/>
      <c r="E221" s="542"/>
      <c r="F221" s="543"/>
      <c r="G221" s="543"/>
      <c r="H221" s="542"/>
      <c r="I221" s="542"/>
      <c r="J221" s="542"/>
      <c r="K221" s="542"/>
      <c r="L221" s="542"/>
      <c r="M221" s="542"/>
      <c r="N221" s="524"/>
      <c r="O221" s="524"/>
      <c r="P221" s="560"/>
      <c r="T221" s="529"/>
    </row>
    <row r="222" spans="4:20" s="502" customFormat="1" x14ac:dyDescent="0.2">
      <c r="D222" s="514"/>
      <c r="E222" s="542"/>
      <c r="F222" s="543"/>
      <c r="G222" s="543"/>
      <c r="H222" s="542"/>
      <c r="I222" s="542"/>
      <c r="J222" s="542"/>
      <c r="K222" s="542"/>
      <c r="L222" s="542"/>
      <c r="M222" s="542"/>
      <c r="N222" s="524"/>
      <c r="O222" s="524"/>
      <c r="P222" s="560"/>
      <c r="T222" s="529"/>
    </row>
    <row r="223" spans="4:20" s="502" customFormat="1" x14ac:dyDescent="0.2">
      <c r="D223" s="514"/>
      <c r="E223" s="542"/>
      <c r="F223" s="543"/>
      <c r="G223" s="543"/>
      <c r="H223" s="542"/>
      <c r="I223" s="542"/>
      <c r="J223" s="542"/>
      <c r="K223" s="542"/>
      <c r="L223" s="542"/>
      <c r="M223" s="542"/>
      <c r="N223" s="524"/>
      <c r="O223" s="524"/>
      <c r="P223" s="560"/>
      <c r="T223" s="529"/>
    </row>
    <row r="224" spans="4:20" s="502" customFormat="1" x14ac:dyDescent="0.2">
      <c r="D224" s="514"/>
      <c r="E224" s="542"/>
      <c r="F224" s="543"/>
      <c r="G224" s="543"/>
      <c r="H224" s="542"/>
      <c r="I224" s="542"/>
      <c r="J224" s="542"/>
      <c r="K224" s="542"/>
      <c r="L224" s="542"/>
      <c r="M224" s="542"/>
      <c r="N224" s="524"/>
      <c r="O224" s="524"/>
      <c r="P224" s="560"/>
      <c r="T224" s="529"/>
    </row>
    <row r="225" spans="4:20" s="502" customFormat="1" x14ac:dyDescent="0.2">
      <c r="D225" s="514"/>
      <c r="E225" s="542"/>
      <c r="F225" s="543"/>
      <c r="G225" s="543"/>
      <c r="H225" s="542"/>
      <c r="I225" s="542"/>
      <c r="J225" s="542"/>
      <c r="K225" s="542"/>
      <c r="L225" s="542"/>
      <c r="M225" s="542"/>
      <c r="N225" s="524"/>
      <c r="O225" s="524"/>
      <c r="P225" s="560"/>
      <c r="T225" s="529"/>
    </row>
    <row r="226" spans="4:20" s="502" customFormat="1" x14ac:dyDescent="0.2">
      <c r="D226" s="514"/>
      <c r="E226" s="542"/>
      <c r="F226" s="543"/>
      <c r="G226" s="543"/>
      <c r="H226" s="542"/>
      <c r="I226" s="542"/>
      <c r="J226" s="542"/>
      <c r="K226" s="542"/>
      <c r="L226" s="542"/>
      <c r="M226" s="542"/>
      <c r="N226" s="524"/>
      <c r="O226" s="524"/>
      <c r="P226" s="560"/>
      <c r="T226" s="529"/>
    </row>
    <row r="227" spans="4:20" s="502" customFormat="1" x14ac:dyDescent="0.2">
      <c r="D227" s="514"/>
      <c r="E227" s="542"/>
      <c r="F227" s="543"/>
      <c r="G227" s="543"/>
      <c r="H227" s="542"/>
      <c r="I227" s="542"/>
      <c r="J227" s="542"/>
      <c r="K227" s="542"/>
      <c r="L227" s="542"/>
      <c r="M227" s="542"/>
      <c r="N227" s="524"/>
      <c r="O227" s="524"/>
      <c r="P227" s="560"/>
      <c r="T227" s="529"/>
    </row>
    <row r="228" spans="4:20" s="502" customFormat="1" x14ac:dyDescent="0.2">
      <c r="D228" s="514"/>
      <c r="E228" s="542"/>
      <c r="F228" s="543"/>
      <c r="G228" s="543"/>
      <c r="H228" s="542"/>
      <c r="I228" s="542"/>
      <c r="J228" s="542"/>
      <c r="K228" s="542"/>
      <c r="L228" s="542"/>
      <c r="M228" s="542"/>
      <c r="N228" s="524"/>
      <c r="O228" s="524"/>
      <c r="P228" s="560"/>
      <c r="T228" s="529"/>
    </row>
    <row r="229" spans="4:20" s="502" customFormat="1" x14ac:dyDescent="0.2">
      <c r="D229" s="514"/>
      <c r="E229" s="542"/>
      <c r="F229" s="543"/>
      <c r="G229" s="543"/>
      <c r="H229" s="542"/>
      <c r="I229" s="542"/>
      <c r="J229" s="542"/>
      <c r="K229" s="542"/>
      <c r="L229" s="542"/>
      <c r="M229" s="542"/>
      <c r="N229" s="524"/>
      <c r="O229" s="524"/>
      <c r="P229" s="560"/>
      <c r="T229" s="529"/>
    </row>
    <row r="230" spans="4:20" s="502" customFormat="1" x14ac:dyDescent="0.2">
      <c r="D230" s="514"/>
      <c r="E230" s="542"/>
      <c r="F230" s="543"/>
      <c r="G230" s="543"/>
      <c r="H230" s="542"/>
      <c r="I230" s="542"/>
      <c r="J230" s="542"/>
      <c r="K230" s="542"/>
      <c r="L230" s="542"/>
      <c r="M230" s="542"/>
      <c r="N230" s="524"/>
      <c r="O230" s="524"/>
      <c r="P230" s="560"/>
      <c r="T230" s="529"/>
    </row>
    <row r="231" spans="4:20" s="502" customFormat="1" x14ac:dyDescent="0.2">
      <c r="D231" s="514"/>
      <c r="E231" s="542"/>
      <c r="F231" s="543"/>
      <c r="G231" s="543"/>
      <c r="H231" s="542"/>
      <c r="I231" s="542"/>
      <c r="J231" s="542"/>
      <c r="K231" s="542"/>
      <c r="L231" s="542"/>
      <c r="M231" s="542"/>
      <c r="N231" s="524"/>
      <c r="O231" s="524"/>
      <c r="P231" s="560"/>
      <c r="T231" s="529"/>
    </row>
    <row r="232" spans="4:20" s="502" customFormat="1" x14ac:dyDescent="0.2">
      <c r="D232" s="514"/>
      <c r="E232" s="542"/>
      <c r="F232" s="543"/>
      <c r="G232" s="543"/>
      <c r="H232" s="542"/>
      <c r="I232" s="542"/>
      <c r="J232" s="542"/>
      <c r="K232" s="542"/>
      <c r="L232" s="542"/>
      <c r="M232" s="542"/>
      <c r="N232" s="524"/>
      <c r="O232" s="524"/>
      <c r="P232" s="560"/>
      <c r="T232" s="529"/>
    </row>
    <row r="233" spans="4:20" s="502" customFormat="1" x14ac:dyDescent="0.2">
      <c r="D233" s="514"/>
      <c r="E233" s="542"/>
      <c r="F233" s="543"/>
      <c r="G233" s="543"/>
      <c r="H233" s="542"/>
      <c r="I233" s="542"/>
      <c r="J233" s="542"/>
      <c r="K233" s="542"/>
      <c r="L233" s="542"/>
      <c r="M233" s="542"/>
      <c r="N233" s="524"/>
      <c r="O233" s="524"/>
      <c r="P233" s="560"/>
      <c r="T233" s="529"/>
    </row>
    <row r="234" spans="4:20" s="502" customFormat="1" x14ac:dyDescent="0.2">
      <c r="D234" s="514"/>
      <c r="E234" s="542"/>
      <c r="F234" s="543"/>
      <c r="G234" s="543"/>
      <c r="H234" s="542"/>
      <c r="I234" s="542"/>
      <c r="J234" s="542"/>
      <c r="K234" s="542"/>
      <c r="L234" s="542"/>
      <c r="M234" s="542"/>
      <c r="N234" s="524"/>
      <c r="O234" s="524"/>
      <c r="P234" s="560"/>
      <c r="T234" s="529"/>
    </row>
    <row r="235" spans="4:20" s="502" customFormat="1" x14ac:dyDescent="0.2">
      <c r="D235" s="514"/>
      <c r="E235" s="542"/>
      <c r="F235" s="543"/>
      <c r="G235" s="543"/>
      <c r="H235" s="542"/>
      <c r="I235" s="542"/>
      <c r="J235" s="542"/>
      <c r="K235" s="542"/>
      <c r="L235" s="542"/>
      <c r="M235" s="542"/>
      <c r="N235" s="524"/>
      <c r="O235" s="524"/>
      <c r="P235" s="560"/>
      <c r="T235" s="529"/>
    </row>
    <row r="236" spans="4:20" s="502" customFormat="1" x14ac:dyDescent="0.2">
      <c r="D236" s="514"/>
      <c r="E236" s="542"/>
      <c r="F236" s="543"/>
      <c r="G236" s="543"/>
      <c r="H236" s="542"/>
      <c r="I236" s="542"/>
      <c r="J236" s="542"/>
      <c r="K236" s="542"/>
      <c r="L236" s="542"/>
      <c r="M236" s="542"/>
      <c r="N236" s="524"/>
      <c r="O236" s="524"/>
      <c r="P236" s="560"/>
      <c r="T236" s="529"/>
    </row>
    <row r="237" spans="4:20" s="502" customFormat="1" x14ac:dyDescent="0.2">
      <c r="D237" s="514"/>
      <c r="E237" s="542"/>
      <c r="F237" s="543"/>
      <c r="G237" s="543"/>
      <c r="H237" s="542"/>
      <c r="I237" s="542"/>
      <c r="J237" s="542"/>
      <c r="K237" s="542"/>
      <c r="L237" s="542"/>
      <c r="M237" s="542"/>
      <c r="N237" s="524"/>
      <c r="O237" s="524"/>
      <c r="P237" s="560"/>
      <c r="T237" s="529"/>
    </row>
    <row r="238" spans="4:20" s="502" customFormat="1" x14ac:dyDescent="0.2">
      <c r="D238" s="514"/>
      <c r="E238" s="542"/>
      <c r="F238" s="543"/>
      <c r="G238" s="543"/>
      <c r="H238" s="542"/>
      <c r="I238" s="542"/>
      <c r="J238" s="542"/>
      <c r="K238" s="542"/>
      <c r="L238" s="542"/>
      <c r="M238" s="542"/>
      <c r="N238" s="524"/>
      <c r="O238" s="524"/>
      <c r="P238" s="560"/>
      <c r="T238" s="529"/>
    </row>
    <row r="239" spans="4:20" s="502" customFormat="1" x14ac:dyDescent="0.2">
      <c r="D239" s="514"/>
      <c r="E239" s="542"/>
      <c r="F239" s="543"/>
      <c r="G239" s="543"/>
      <c r="H239" s="542"/>
      <c r="I239" s="542"/>
      <c r="J239" s="542"/>
      <c r="K239" s="542"/>
      <c r="L239" s="542"/>
      <c r="M239" s="542"/>
      <c r="N239" s="524"/>
      <c r="O239" s="524"/>
      <c r="P239" s="560"/>
      <c r="T239" s="529"/>
    </row>
    <row r="240" spans="4:20" s="502" customFormat="1" x14ac:dyDescent="0.2">
      <c r="D240" s="514"/>
      <c r="E240" s="542"/>
      <c r="F240" s="543"/>
      <c r="G240" s="543"/>
      <c r="H240" s="542"/>
      <c r="I240" s="542"/>
      <c r="J240" s="542"/>
      <c r="K240" s="542"/>
      <c r="L240" s="542"/>
      <c r="M240" s="542"/>
      <c r="N240" s="524"/>
      <c r="O240" s="524"/>
      <c r="P240" s="560"/>
      <c r="T240" s="529"/>
    </row>
    <row r="241" spans="4:20" s="502" customFormat="1" x14ac:dyDescent="0.2">
      <c r="D241" s="514"/>
      <c r="E241" s="542"/>
      <c r="F241" s="543"/>
      <c r="G241" s="543"/>
      <c r="H241" s="542"/>
      <c r="I241" s="542"/>
      <c r="J241" s="542"/>
      <c r="K241" s="542"/>
      <c r="L241" s="542"/>
      <c r="M241" s="542"/>
      <c r="N241" s="524"/>
      <c r="O241" s="524"/>
      <c r="P241" s="560"/>
      <c r="T241" s="529"/>
    </row>
    <row r="242" spans="4:20" s="502" customFormat="1" x14ac:dyDescent="0.2">
      <c r="D242" s="514"/>
      <c r="E242" s="542"/>
      <c r="F242" s="543"/>
      <c r="G242" s="543"/>
      <c r="H242" s="542"/>
      <c r="I242" s="542"/>
      <c r="J242" s="542"/>
      <c r="K242" s="542"/>
      <c r="L242" s="542"/>
      <c r="M242" s="542"/>
      <c r="N242" s="524"/>
      <c r="O242" s="524"/>
      <c r="P242" s="560"/>
      <c r="T242" s="529"/>
    </row>
    <row r="243" spans="4:20" s="502" customFormat="1" x14ac:dyDescent="0.2">
      <c r="D243" s="514"/>
      <c r="E243" s="542"/>
      <c r="F243" s="543"/>
      <c r="G243" s="543"/>
      <c r="H243" s="542"/>
      <c r="I243" s="542"/>
      <c r="J243" s="542"/>
      <c r="K243" s="542"/>
      <c r="L243" s="542"/>
      <c r="M243" s="542"/>
      <c r="N243" s="524"/>
      <c r="O243" s="524"/>
      <c r="P243" s="560"/>
      <c r="T243" s="529"/>
    </row>
    <row r="244" spans="4:20" s="502" customFormat="1" x14ac:dyDescent="0.2">
      <c r="D244" s="514"/>
      <c r="E244" s="542"/>
      <c r="F244" s="543"/>
      <c r="G244" s="543"/>
      <c r="H244" s="542"/>
      <c r="I244" s="542"/>
      <c r="J244" s="542"/>
      <c r="K244" s="542"/>
      <c r="L244" s="542"/>
      <c r="M244" s="542"/>
      <c r="N244" s="524"/>
      <c r="O244" s="524"/>
      <c r="P244" s="560"/>
      <c r="T244" s="529"/>
    </row>
    <row r="245" spans="4:20" s="502" customFormat="1" x14ac:dyDescent="0.2">
      <c r="D245" s="514"/>
      <c r="E245" s="542"/>
      <c r="F245" s="543"/>
      <c r="G245" s="543"/>
      <c r="H245" s="542"/>
      <c r="I245" s="542"/>
      <c r="J245" s="542"/>
      <c r="K245" s="542"/>
      <c r="L245" s="542"/>
      <c r="M245" s="542"/>
      <c r="N245" s="524"/>
      <c r="O245" s="524"/>
      <c r="P245" s="560"/>
      <c r="T245" s="529"/>
    </row>
    <row r="246" spans="4:20" s="502" customFormat="1" x14ac:dyDescent="0.2">
      <c r="D246" s="514"/>
      <c r="E246" s="542"/>
      <c r="F246" s="543"/>
      <c r="G246" s="543"/>
      <c r="H246" s="542"/>
      <c r="I246" s="542"/>
      <c r="J246" s="542"/>
      <c r="K246" s="542"/>
      <c r="L246" s="542"/>
      <c r="M246" s="542"/>
      <c r="N246" s="524"/>
      <c r="O246" s="524"/>
      <c r="P246" s="560"/>
      <c r="T246" s="529"/>
    </row>
    <row r="247" spans="4:20" s="502" customFormat="1" x14ac:dyDescent="0.2">
      <c r="D247" s="514"/>
      <c r="E247" s="542"/>
      <c r="F247" s="543"/>
      <c r="G247" s="543"/>
      <c r="H247" s="542"/>
      <c r="I247" s="542"/>
      <c r="J247" s="542"/>
      <c r="K247" s="542"/>
      <c r="L247" s="542"/>
      <c r="M247" s="542"/>
      <c r="N247" s="524"/>
      <c r="O247" s="524"/>
      <c r="P247" s="560"/>
      <c r="T247" s="529"/>
    </row>
    <row r="248" spans="4:20" s="502" customFormat="1" x14ac:dyDescent="0.2">
      <c r="D248" s="514"/>
      <c r="E248" s="542"/>
      <c r="F248" s="543"/>
      <c r="G248" s="543"/>
      <c r="H248" s="542"/>
      <c r="I248" s="542"/>
      <c r="J248" s="542"/>
      <c r="K248" s="542"/>
      <c r="L248" s="542"/>
      <c r="M248" s="542"/>
      <c r="N248" s="524"/>
      <c r="O248" s="524"/>
      <c r="P248" s="560"/>
      <c r="T248" s="529"/>
    </row>
    <row r="249" spans="4:20" s="502" customFormat="1" x14ac:dyDescent="0.2">
      <c r="D249" s="514"/>
      <c r="E249" s="542"/>
      <c r="F249" s="543"/>
      <c r="G249" s="543"/>
      <c r="H249" s="542"/>
      <c r="I249" s="542"/>
      <c r="J249" s="542"/>
      <c r="K249" s="542"/>
      <c r="L249" s="542"/>
      <c r="M249" s="542"/>
      <c r="N249" s="524"/>
      <c r="O249" s="524"/>
      <c r="P249" s="560"/>
      <c r="T249" s="529"/>
    </row>
    <row r="250" spans="4:20" s="502" customFormat="1" x14ac:dyDescent="0.2">
      <c r="D250" s="514"/>
      <c r="E250" s="542"/>
      <c r="F250" s="543"/>
      <c r="G250" s="543"/>
      <c r="H250" s="542"/>
      <c r="I250" s="542"/>
      <c r="J250" s="542"/>
      <c r="K250" s="542"/>
      <c r="L250" s="542"/>
      <c r="M250" s="542"/>
      <c r="N250" s="524"/>
      <c r="O250" s="524"/>
      <c r="P250" s="560"/>
      <c r="T250" s="529"/>
    </row>
    <row r="251" spans="4:20" s="502" customFormat="1" x14ac:dyDescent="0.2">
      <c r="D251" s="514"/>
      <c r="E251" s="542"/>
      <c r="F251" s="543"/>
      <c r="G251" s="543"/>
      <c r="H251" s="542"/>
      <c r="I251" s="542"/>
      <c r="J251" s="542"/>
      <c r="K251" s="542"/>
      <c r="L251" s="542"/>
      <c r="M251" s="542"/>
      <c r="N251" s="524"/>
      <c r="O251" s="524"/>
      <c r="P251" s="560"/>
      <c r="T251" s="529"/>
    </row>
    <row r="252" spans="4:20" s="502" customFormat="1" x14ac:dyDescent="0.2">
      <c r="D252" s="514"/>
      <c r="E252" s="542"/>
      <c r="F252" s="543"/>
      <c r="G252" s="543"/>
      <c r="H252" s="542"/>
      <c r="I252" s="542"/>
      <c r="J252" s="542"/>
      <c r="K252" s="542"/>
      <c r="L252" s="542"/>
      <c r="M252" s="542"/>
      <c r="N252" s="524"/>
      <c r="O252" s="524"/>
      <c r="P252" s="560"/>
      <c r="T252" s="529"/>
    </row>
    <row r="253" spans="4:20" s="502" customFormat="1" x14ac:dyDescent="0.2">
      <c r="D253" s="514"/>
      <c r="E253" s="542"/>
      <c r="F253" s="543"/>
      <c r="G253" s="543"/>
      <c r="H253" s="542"/>
      <c r="I253" s="542"/>
      <c r="J253" s="542"/>
      <c r="K253" s="542"/>
      <c r="L253" s="542"/>
      <c r="M253" s="542"/>
      <c r="N253" s="524"/>
      <c r="O253" s="524"/>
      <c r="P253" s="560"/>
      <c r="T253" s="529"/>
    </row>
    <row r="254" spans="4:20" s="502" customFormat="1" x14ac:dyDescent="0.2">
      <c r="D254" s="514"/>
      <c r="E254" s="542"/>
      <c r="F254" s="543"/>
      <c r="G254" s="543"/>
      <c r="H254" s="542"/>
      <c r="I254" s="542"/>
      <c r="J254" s="542"/>
      <c r="K254" s="542"/>
      <c r="L254" s="542"/>
      <c r="M254" s="542"/>
      <c r="N254" s="524"/>
      <c r="O254" s="524"/>
      <c r="P254" s="560"/>
      <c r="T254" s="529"/>
    </row>
    <row r="255" spans="4:20" s="502" customFormat="1" x14ac:dyDescent="0.2">
      <c r="D255" s="514"/>
      <c r="E255" s="542"/>
      <c r="F255" s="543"/>
      <c r="G255" s="543"/>
      <c r="H255" s="542"/>
      <c r="I255" s="542"/>
      <c r="J255" s="542"/>
      <c r="K255" s="542"/>
      <c r="L255" s="542"/>
      <c r="M255" s="542"/>
      <c r="N255" s="524"/>
      <c r="O255" s="524"/>
      <c r="P255" s="560"/>
      <c r="T255" s="529"/>
    </row>
    <row r="256" spans="4:20" s="502" customFormat="1" x14ac:dyDescent="0.2">
      <c r="D256" s="514"/>
      <c r="E256" s="542"/>
      <c r="F256" s="543"/>
      <c r="G256" s="543"/>
      <c r="H256" s="542"/>
      <c r="I256" s="542"/>
      <c r="J256" s="542"/>
      <c r="K256" s="542"/>
      <c r="L256" s="542"/>
      <c r="M256" s="542"/>
      <c r="N256" s="524"/>
      <c r="O256" s="524"/>
      <c r="P256" s="560"/>
      <c r="T256" s="529"/>
    </row>
    <row r="257" spans="4:20" s="502" customFormat="1" x14ac:dyDescent="0.2">
      <c r="D257" s="514"/>
      <c r="E257" s="542"/>
      <c r="F257" s="543"/>
      <c r="G257" s="543"/>
      <c r="H257" s="542"/>
      <c r="I257" s="542"/>
      <c r="J257" s="542"/>
      <c r="K257" s="542"/>
      <c r="L257" s="542"/>
      <c r="M257" s="542"/>
      <c r="N257" s="524"/>
      <c r="O257" s="524"/>
      <c r="P257" s="560"/>
      <c r="T257" s="529"/>
    </row>
    <row r="258" spans="4:20" s="502" customFormat="1" x14ac:dyDescent="0.2">
      <c r="D258" s="514"/>
      <c r="E258" s="542"/>
      <c r="F258" s="543"/>
      <c r="G258" s="543"/>
      <c r="H258" s="542"/>
      <c r="I258" s="542"/>
      <c r="J258" s="542"/>
      <c r="K258" s="542"/>
      <c r="L258" s="542"/>
      <c r="M258" s="542"/>
      <c r="N258" s="524"/>
      <c r="O258" s="524"/>
      <c r="P258" s="560"/>
      <c r="T258" s="529"/>
    </row>
    <row r="259" spans="4:20" s="502" customFormat="1" x14ac:dyDescent="0.2">
      <c r="D259" s="514"/>
      <c r="E259" s="542"/>
      <c r="F259" s="543"/>
      <c r="G259" s="543"/>
      <c r="H259" s="542"/>
      <c r="I259" s="542"/>
      <c r="J259" s="542"/>
      <c r="K259" s="542"/>
      <c r="L259" s="542"/>
      <c r="M259" s="542"/>
      <c r="N259" s="524"/>
      <c r="O259" s="524"/>
      <c r="P259" s="560"/>
      <c r="T259" s="529"/>
    </row>
    <row r="260" spans="4:20" s="502" customFormat="1" x14ac:dyDescent="0.2">
      <c r="D260" s="514"/>
      <c r="E260" s="542"/>
      <c r="F260" s="543"/>
      <c r="G260" s="543"/>
      <c r="H260" s="542"/>
      <c r="I260" s="542"/>
      <c r="J260" s="542"/>
      <c r="K260" s="542"/>
      <c r="L260" s="542"/>
      <c r="M260" s="542"/>
      <c r="N260" s="524"/>
      <c r="O260" s="524"/>
      <c r="P260" s="560"/>
      <c r="T260" s="529"/>
    </row>
    <row r="261" spans="4:20" s="502" customFormat="1" x14ac:dyDescent="0.2">
      <c r="D261" s="514"/>
      <c r="E261" s="542"/>
      <c r="F261" s="543"/>
      <c r="G261" s="543"/>
      <c r="H261" s="542"/>
      <c r="I261" s="542"/>
      <c r="J261" s="542"/>
      <c r="K261" s="542"/>
      <c r="L261" s="542"/>
      <c r="M261" s="542"/>
      <c r="N261" s="524"/>
      <c r="O261" s="524"/>
      <c r="P261" s="560"/>
      <c r="T261" s="529"/>
    </row>
    <row r="262" spans="4:20" s="502" customFormat="1" x14ac:dyDescent="0.2">
      <c r="D262" s="514"/>
      <c r="E262" s="542"/>
      <c r="F262" s="543"/>
      <c r="G262" s="543"/>
      <c r="H262" s="542"/>
      <c r="I262" s="542"/>
      <c r="J262" s="542"/>
      <c r="K262" s="542"/>
      <c r="L262" s="542"/>
      <c r="M262" s="542"/>
      <c r="N262" s="524"/>
      <c r="O262" s="524"/>
      <c r="P262" s="560"/>
      <c r="T262" s="529"/>
    </row>
    <row r="263" spans="4:20" s="502" customFormat="1" x14ac:dyDescent="0.2">
      <c r="D263" s="514"/>
      <c r="E263" s="542"/>
      <c r="F263" s="543"/>
      <c r="G263" s="543"/>
      <c r="H263" s="542"/>
      <c r="I263" s="542"/>
      <c r="J263" s="542"/>
      <c r="K263" s="542"/>
      <c r="L263" s="542"/>
      <c r="M263" s="542"/>
      <c r="N263" s="524"/>
      <c r="O263" s="524"/>
      <c r="P263" s="560"/>
      <c r="T263" s="529"/>
    </row>
    <row r="264" spans="4:20" s="502" customFormat="1" x14ac:dyDescent="0.2">
      <c r="D264" s="514"/>
      <c r="E264" s="542"/>
      <c r="F264" s="543"/>
      <c r="G264" s="543"/>
      <c r="H264" s="542"/>
      <c r="I264" s="542"/>
      <c r="J264" s="542"/>
      <c r="K264" s="542"/>
      <c r="L264" s="542"/>
      <c r="M264" s="542"/>
      <c r="N264" s="524"/>
      <c r="O264" s="524"/>
      <c r="P264" s="560"/>
      <c r="T264" s="529"/>
    </row>
    <row r="265" spans="4:20" s="502" customFormat="1" x14ac:dyDescent="0.2">
      <c r="D265" s="514"/>
      <c r="E265" s="542"/>
      <c r="F265" s="543"/>
      <c r="G265" s="543"/>
      <c r="H265" s="542"/>
      <c r="I265" s="542"/>
      <c r="J265" s="542"/>
      <c r="K265" s="542"/>
      <c r="L265" s="542"/>
      <c r="M265" s="542"/>
      <c r="N265" s="524"/>
      <c r="O265" s="524"/>
      <c r="P265" s="560"/>
      <c r="T265" s="529"/>
    </row>
    <row r="266" spans="4:20" s="502" customFormat="1" x14ac:dyDescent="0.2">
      <c r="D266" s="514"/>
      <c r="E266" s="542"/>
      <c r="F266" s="543"/>
      <c r="G266" s="543"/>
      <c r="H266" s="542"/>
      <c r="I266" s="542"/>
      <c r="J266" s="542"/>
      <c r="K266" s="542"/>
      <c r="L266" s="542"/>
      <c r="M266" s="542"/>
      <c r="N266" s="524"/>
      <c r="O266" s="524"/>
      <c r="P266" s="560"/>
      <c r="T266" s="529"/>
    </row>
    <row r="267" spans="4:20" s="502" customFormat="1" x14ac:dyDescent="0.2">
      <c r="D267" s="514"/>
      <c r="E267" s="542"/>
      <c r="F267" s="543"/>
      <c r="G267" s="543"/>
      <c r="H267" s="542"/>
      <c r="I267" s="542"/>
      <c r="J267" s="542"/>
      <c r="K267" s="542"/>
      <c r="L267" s="542"/>
      <c r="M267" s="542"/>
      <c r="N267" s="524"/>
      <c r="O267" s="524"/>
      <c r="P267" s="560"/>
      <c r="T267" s="529"/>
    </row>
    <row r="268" spans="4:20" s="502" customFormat="1" x14ac:dyDescent="0.2">
      <c r="D268" s="514"/>
      <c r="E268" s="542"/>
      <c r="F268" s="543"/>
      <c r="G268" s="543"/>
      <c r="H268" s="542"/>
      <c r="I268" s="542"/>
      <c r="J268" s="542"/>
      <c r="K268" s="542"/>
      <c r="L268" s="542"/>
      <c r="M268" s="542"/>
      <c r="N268" s="524"/>
      <c r="O268" s="524"/>
      <c r="P268" s="560"/>
      <c r="T268" s="529"/>
    </row>
    <row r="269" spans="4:20" s="502" customFormat="1" x14ac:dyDescent="0.2">
      <c r="D269" s="514"/>
      <c r="E269" s="542"/>
      <c r="F269" s="543"/>
      <c r="G269" s="543"/>
      <c r="H269" s="542"/>
      <c r="I269" s="542"/>
      <c r="J269" s="542"/>
      <c r="K269" s="542"/>
      <c r="L269" s="542"/>
      <c r="M269" s="542"/>
      <c r="N269" s="524"/>
      <c r="O269" s="524"/>
      <c r="P269" s="560"/>
      <c r="T269" s="529"/>
    </row>
    <row r="270" spans="4:20" s="502" customFormat="1" x14ac:dyDescent="0.2">
      <c r="D270" s="514"/>
      <c r="E270" s="542"/>
      <c r="F270" s="543"/>
      <c r="G270" s="543"/>
      <c r="H270" s="542"/>
      <c r="I270" s="542"/>
      <c r="J270" s="542"/>
      <c r="K270" s="542"/>
      <c r="L270" s="542"/>
      <c r="M270" s="542"/>
      <c r="N270" s="524"/>
      <c r="O270" s="524"/>
      <c r="P270" s="560"/>
      <c r="T270" s="529"/>
    </row>
    <row r="271" spans="4:20" s="502" customFormat="1" x14ac:dyDescent="0.2">
      <c r="D271" s="514"/>
      <c r="E271" s="542"/>
      <c r="F271" s="543"/>
      <c r="G271" s="543"/>
      <c r="H271" s="542"/>
      <c r="I271" s="542"/>
      <c r="J271" s="542"/>
      <c r="K271" s="542"/>
      <c r="L271" s="542"/>
      <c r="M271" s="542"/>
      <c r="N271" s="524"/>
      <c r="O271" s="524"/>
      <c r="P271" s="560"/>
      <c r="T271" s="529"/>
    </row>
    <row r="272" spans="4:20" s="502" customFormat="1" x14ac:dyDescent="0.2">
      <c r="D272" s="514"/>
      <c r="E272" s="542"/>
      <c r="F272" s="543"/>
      <c r="G272" s="543"/>
      <c r="H272" s="542"/>
      <c r="I272" s="542"/>
      <c r="J272" s="542"/>
      <c r="K272" s="542"/>
      <c r="L272" s="542"/>
      <c r="M272" s="542"/>
      <c r="N272" s="524"/>
      <c r="O272" s="524"/>
      <c r="P272" s="560"/>
      <c r="T272" s="529"/>
    </row>
    <row r="273" spans="4:20" s="502" customFormat="1" x14ac:dyDescent="0.2">
      <c r="D273" s="514"/>
      <c r="E273" s="542"/>
      <c r="F273" s="543"/>
      <c r="G273" s="543"/>
      <c r="H273" s="542"/>
      <c r="I273" s="542"/>
      <c r="J273" s="542"/>
      <c r="K273" s="542"/>
      <c r="L273" s="542"/>
      <c r="M273" s="542"/>
      <c r="N273" s="524"/>
      <c r="O273" s="524"/>
      <c r="P273" s="560"/>
      <c r="T273" s="529"/>
    </row>
    <row r="274" spans="4:20" s="502" customFormat="1" x14ac:dyDescent="0.2">
      <c r="D274" s="514"/>
      <c r="E274" s="542"/>
      <c r="F274" s="543"/>
      <c r="G274" s="543"/>
      <c r="H274" s="542"/>
      <c r="I274" s="542"/>
      <c r="J274" s="542"/>
      <c r="K274" s="542"/>
      <c r="L274" s="542"/>
      <c r="M274" s="542"/>
      <c r="N274" s="524"/>
      <c r="O274" s="524"/>
      <c r="P274" s="560"/>
      <c r="T274" s="529"/>
    </row>
    <row r="275" spans="4:20" s="502" customFormat="1" x14ac:dyDescent="0.2">
      <c r="D275" s="514"/>
      <c r="E275" s="542"/>
      <c r="F275" s="543"/>
      <c r="G275" s="543"/>
      <c r="H275" s="542"/>
      <c r="I275" s="542"/>
      <c r="J275" s="542"/>
      <c r="K275" s="542"/>
      <c r="L275" s="542"/>
      <c r="M275" s="542"/>
      <c r="N275" s="524"/>
      <c r="O275" s="524"/>
      <c r="P275" s="560"/>
      <c r="T275" s="529"/>
    </row>
    <row r="276" spans="4:20" s="502" customFormat="1" x14ac:dyDescent="0.2">
      <c r="D276" s="514"/>
      <c r="E276" s="542"/>
      <c r="F276" s="543"/>
      <c r="G276" s="543"/>
      <c r="H276" s="542"/>
      <c r="I276" s="542"/>
      <c r="J276" s="542"/>
      <c r="K276" s="542"/>
      <c r="L276" s="542"/>
      <c r="M276" s="542"/>
      <c r="N276" s="524"/>
      <c r="O276" s="524"/>
      <c r="P276" s="560"/>
      <c r="T276" s="529"/>
    </row>
    <row r="277" spans="4:20" s="502" customFormat="1" x14ac:dyDescent="0.2">
      <c r="D277" s="514"/>
      <c r="E277" s="542"/>
      <c r="F277" s="543"/>
      <c r="G277" s="543"/>
      <c r="H277" s="542"/>
      <c r="I277" s="542"/>
      <c r="J277" s="542"/>
      <c r="K277" s="542"/>
      <c r="L277" s="542"/>
      <c r="M277" s="542"/>
      <c r="N277" s="524"/>
      <c r="O277" s="524"/>
      <c r="P277" s="560"/>
      <c r="T277" s="529"/>
    </row>
    <row r="278" spans="4:20" s="502" customFormat="1" x14ac:dyDescent="0.2">
      <c r="D278" s="514"/>
      <c r="E278" s="542"/>
      <c r="F278" s="543"/>
      <c r="G278" s="543"/>
      <c r="H278" s="542"/>
      <c r="I278" s="542"/>
      <c r="J278" s="542"/>
      <c r="K278" s="542"/>
      <c r="L278" s="542"/>
      <c r="M278" s="542"/>
      <c r="N278" s="524"/>
      <c r="O278" s="524"/>
      <c r="P278" s="560"/>
      <c r="T278" s="529"/>
    </row>
    <row r="279" spans="4:20" s="502" customFormat="1" x14ac:dyDescent="0.2">
      <c r="D279" s="514"/>
      <c r="E279" s="542"/>
      <c r="F279" s="543"/>
      <c r="G279" s="543"/>
      <c r="H279" s="542"/>
      <c r="I279" s="542"/>
      <c r="J279" s="542"/>
      <c r="K279" s="542"/>
      <c r="L279" s="542"/>
      <c r="M279" s="542"/>
      <c r="N279" s="524"/>
      <c r="O279" s="524"/>
      <c r="P279" s="560"/>
      <c r="T279" s="529"/>
    </row>
    <row r="280" spans="4:20" s="502" customFormat="1" x14ac:dyDescent="0.2">
      <c r="D280" s="514"/>
      <c r="E280" s="542"/>
      <c r="F280" s="543"/>
      <c r="G280" s="543"/>
      <c r="H280" s="542"/>
      <c r="I280" s="542"/>
      <c r="J280" s="542"/>
      <c r="K280" s="542"/>
      <c r="L280" s="542"/>
      <c r="M280" s="542"/>
      <c r="N280" s="524"/>
      <c r="O280" s="524"/>
      <c r="P280" s="560"/>
      <c r="T280" s="529"/>
    </row>
    <row r="281" spans="4:20" s="502" customFormat="1" x14ac:dyDescent="0.2">
      <c r="D281" s="514"/>
      <c r="E281" s="542"/>
      <c r="F281" s="543"/>
      <c r="G281" s="543"/>
      <c r="H281" s="542"/>
      <c r="I281" s="542"/>
      <c r="J281" s="542"/>
      <c r="K281" s="542"/>
      <c r="L281" s="542"/>
      <c r="M281" s="542"/>
      <c r="N281" s="524"/>
      <c r="O281" s="524"/>
      <c r="P281" s="560"/>
      <c r="T281" s="529"/>
    </row>
    <row r="282" spans="4:20" s="502" customFormat="1" x14ac:dyDescent="0.2">
      <c r="D282" s="514"/>
      <c r="E282" s="542"/>
      <c r="F282" s="543"/>
      <c r="G282" s="543"/>
      <c r="H282" s="542"/>
      <c r="I282" s="542"/>
      <c r="J282" s="542"/>
      <c r="K282" s="542"/>
      <c r="L282" s="542"/>
      <c r="M282" s="542"/>
      <c r="N282" s="524"/>
      <c r="O282" s="524"/>
      <c r="P282" s="560"/>
      <c r="T282" s="529"/>
    </row>
    <row r="283" spans="4:20" s="502" customFormat="1" x14ac:dyDescent="0.2">
      <c r="D283" s="514"/>
      <c r="E283" s="542"/>
      <c r="F283" s="543"/>
      <c r="G283" s="543"/>
      <c r="H283" s="542"/>
      <c r="I283" s="542"/>
      <c r="J283" s="542"/>
      <c r="K283" s="542"/>
      <c r="L283" s="542"/>
      <c r="M283" s="542"/>
      <c r="N283" s="524"/>
      <c r="O283" s="524"/>
      <c r="P283" s="560"/>
      <c r="T283" s="529"/>
    </row>
    <row r="284" spans="4:20" s="502" customFormat="1" x14ac:dyDescent="0.2">
      <c r="D284" s="514"/>
      <c r="E284" s="542"/>
      <c r="F284" s="543"/>
      <c r="G284" s="543"/>
      <c r="H284" s="542"/>
      <c r="I284" s="542"/>
      <c r="J284" s="542"/>
      <c r="K284" s="542"/>
      <c r="L284" s="542"/>
      <c r="M284" s="542"/>
      <c r="N284" s="524"/>
      <c r="O284" s="524"/>
      <c r="P284" s="560"/>
      <c r="T284" s="529"/>
    </row>
    <row r="285" spans="4:20" s="502" customFormat="1" x14ac:dyDescent="0.2">
      <c r="D285" s="514"/>
      <c r="E285" s="542"/>
      <c r="F285" s="543"/>
      <c r="G285" s="543"/>
      <c r="H285" s="542"/>
      <c r="I285" s="542"/>
      <c r="J285" s="542"/>
      <c r="K285" s="542"/>
      <c r="L285" s="542"/>
      <c r="M285" s="542"/>
      <c r="N285" s="524"/>
      <c r="O285" s="524"/>
      <c r="P285" s="560"/>
      <c r="T285" s="529"/>
    </row>
    <row r="286" spans="4:20" s="502" customFormat="1" x14ac:dyDescent="0.2">
      <c r="D286" s="514"/>
      <c r="E286" s="542"/>
      <c r="F286" s="543"/>
      <c r="G286" s="543"/>
      <c r="H286" s="542"/>
      <c r="I286" s="542"/>
      <c r="J286" s="542"/>
      <c r="K286" s="542"/>
      <c r="L286" s="542"/>
      <c r="M286" s="542"/>
      <c r="N286" s="524"/>
      <c r="O286" s="524"/>
      <c r="P286" s="560"/>
      <c r="T286" s="529"/>
    </row>
    <row r="287" spans="4:20" s="502" customFormat="1" x14ac:dyDescent="0.2">
      <c r="D287" s="514"/>
      <c r="E287" s="542"/>
      <c r="F287" s="543"/>
      <c r="G287" s="543"/>
      <c r="H287" s="542"/>
      <c r="I287" s="542"/>
      <c r="J287" s="542"/>
      <c r="K287" s="542"/>
      <c r="L287" s="542"/>
      <c r="M287" s="542"/>
      <c r="N287" s="524"/>
      <c r="O287" s="524"/>
      <c r="P287" s="560"/>
      <c r="T287" s="529"/>
    </row>
    <row r="288" spans="4:20" s="502" customFormat="1" x14ac:dyDescent="0.2">
      <c r="D288" s="514"/>
      <c r="E288" s="542"/>
      <c r="F288" s="543"/>
      <c r="G288" s="543"/>
      <c r="H288" s="542"/>
      <c r="I288" s="542"/>
      <c r="J288" s="542"/>
      <c r="K288" s="542"/>
      <c r="L288" s="542"/>
      <c r="M288" s="542"/>
      <c r="N288" s="524"/>
      <c r="O288" s="524"/>
      <c r="P288" s="560"/>
      <c r="T288" s="529"/>
    </row>
    <row r="289" spans="4:20" s="502" customFormat="1" x14ac:dyDescent="0.2">
      <c r="D289" s="514"/>
      <c r="E289" s="542"/>
      <c r="F289" s="543"/>
      <c r="G289" s="543"/>
      <c r="H289" s="542"/>
      <c r="I289" s="542"/>
      <c r="J289" s="542"/>
      <c r="K289" s="542"/>
      <c r="L289" s="542"/>
      <c r="M289" s="542"/>
      <c r="N289" s="524"/>
      <c r="O289" s="524"/>
      <c r="P289" s="560"/>
      <c r="T289" s="529"/>
    </row>
    <row r="290" spans="4:20" s="502" customFormat="1" x14ac:dyDescent="0.2">
      <c r="D290" s="514"/>
      <c r="E290" s="542"/>
      <c r="F290" s="543"/>
      <c r="G290" s="543"/>
      <c r="H290" s="542"/>
      <c r="I290" s="542"/>
      <c r="J290" s="542"/>
      <c r="K290" s="542"/>
      <c r="L290" s="542"/>
      <c r="M290" s="542"/>
      <c r="N290" s="524"/>
      <c r="O290" s="524"/>
      <c r="P290" s="560"/>
      <c r="T290" s="529"/>
    </row>
    <row r="291" spans="4:20" s="502" customFormat="1" x14ac:dyDescent="0.2">
      <c r="D291" s="514"/>
      <c r="E291" s="542"/>
      <c r="F291" s="543"/>
      <c r="G291" s="543"/>
      <c r="H291" s="542"/>
      <c r="I291" s="542"/>
      <c r="J291" s="542"/>
      <c r="K291" s="542"/>
      <c r="L291" s="542"/>
      <c r="M291" s="542"/>
      <c r="N291" s="524"/>
      <c r="O291" s="524"/>
      <c r="P291" s="560"/>
      <c r="T291" s="529"/>
    </row>
    <row r="292" spans="4:20" s="502" customFormat="1" x14ac:dyDescent="0.2">
      <c r="D292" s="514"/>
      <c r="E292" s="542"/>
      <c r="F292" s="543"/>
      <c r="G292" s="543"/>
      <c r="H292" s="542"/>
      <c r="I292" s="542"/>
      <c r="J292" s="542"/>
      <c r="K292" s="542"/>
      <c r="L292" s="542"/>
      <c r="M292" s="542"/>
      <c r="N292" s="524"/>
      <c r="O292" s="524"/>
      <c r="P292" s="560"/>
      <c r="T292" s="529"/>
    </row>
    <row r="293" spans="4:20" s="502" customFormat="1" x14ac:dyDescent="0.2">
      <c r="D293" s="514"/>
      <c r="E293" s="542"/>
      <c r="F293" s="543"/>
      <c r="G293" s="543"/>
      <c r="H293" s="542"/>
      <c r="I293" s="542"/>
      <c r="J293" s="542"/>
      <c r="K293" s="542"/>
      <c r="L293" s="542"/>
      <c r="M293" s="542"/>
      <c r="N293" s="524"/>
      <c r="O293" s="524"/>
      <c r="P293" s="560"/>
      <c r="T293" s="529"/>
    </row>
    <row r="294" spans="4:20" s="502" customFormat="1" x14ac:dyDescent="0.2">
      <c r="D294" s="514"/>
      <c r="E294" s="542"/>
      <c r="F294" s="543"/>
      <c r="G294" s="543"/>
      <c r="H294" s="542"/>
      <c r="I294" s="542"/>
      <c r="J294" s="542"/>
      <c r="K294" s="542"/>
      <c r="L294" s="542"/>
      <c r="M294" s="542"/>
      <c r="N294" s="524"/>
      <c r="O294" s="524"/>
      <c r="P294" s="560"/>
      <c r="T294" s="529"/>
    </row>
    <row r="295" spans="4:20" s="502" customFormat="1" x14ac:dyDescent="0.2">
      <c r="D295" s="514"/>
      <c r="E295" s="542"/>
      <c r="F295" s="543"/>
      <c r="G295" s="543"/>
      <c r="H295" s="542"/>
      <c r="I295" s="542"/>
      <c r="J295" s="542"/>
      <c r="K295" s="542"/>
      <c r="L295" s="542"/>
      <c r="M295" s="542"/>
      <c r="N295" s="524"/>
      <c r="O295" s="524"/>
      <c r="P295" s="560"/>
      <c r="T295" s="529"/>
    </row>
    <row r="296" spans="4:20" s="502" customFormat="1" x14ac:dyDescent="0.2">
      <c r="D296" s="514"/>
      <c r="E296" s="542"/>
      <c r="F296" s="543"/>
      <c r="G296" s="543"/>
      <c r="H296" s="542"/>
      <c r="I296" s="542"/>
      <c r="J296" s="542"/>
      <c r="K296" s="542"/>
      <c r="L296" s="542"/>
      <c r="M296" s="542"/>
      <c r="N296" s="524"/>
      <c r="O296" s="524"/>
      <c r="P296" s="560"/>
      <c r="T296" s="529"/>
    </row>
    <row r="297" spans="4:20" s="502" customFormat="1" x14ac:dyDescent="0.2">
      <c r="D297" s="514"/>
      <c r="E297" s="542"/>
      <c r="F297" s="543"/>
      <c r="G297" s="543"/>
      <c r="H297" s="542"/>
      <c r="I297" s="542"/>
      <c r="J297" s="542"/>
      <c r="K297" s="542"/>
      <c r="L297" s="542"/>
      <c r="M297" s="542"/>
      <c r="N297" s="524"/>
      <c r="O297" s="524"/>
      <c r="P297" s="560"/>
      <c r="T297" s="529"/>
    </row>
    <row r="298" spans="4:20" s="502" customFormat="1" x14ac:dyDescent="0.2">
      <c r="D298" s="514"/>
      <c r="E298" s="542"/>
      <c r="F298" s="543"/>
      <c r="G298" s="543"/>
      <c r="H298" s="542"/>
      <c r="I298" s="542"/>
      <c r="J298" s="542"/>
      <c r="K298" s="542"/>
      <c r="L298" s="542"/>
      <c r="M298" s="542"/>
      <c r="N298" s="524"/>
      <c r="O298" s="524"/>
      <c r="P298" s="560"/>
      <c r="T298" s="529"/>
    </row>
    <row r="299" spans="4:20" s="502" customFormat="1" x14ac:dyDescent="0.2">
      <c r="D299" s="514"/>
      <c r="E299" s="542"/>
      <c r="F299" s="543"/>
      <c r="G299" s="543"/>
      <c r="H299" s="542"/>
      <c r="I299" s="542"/>
      <c r="J299" s="542"/>
      <c r="K299" s="542"/>
      <c r="L299" s="542"/>
      <c r="M299" s="542"/>
      <c r="N299" s="524"/>
      <c r="O299" s="524"/>
      <c r="P299" s="560"/>
      <c r="T299" s="529"/>
    </row>
    <row r="300" spans="4:20" s="502" customFormat="1" x14ac:dyDescent="0.2">
      <c r="D300" s="514"/>
      <c r="E300" s="542"/>
      <c r="F300" s="543"/>
      <c r="G300" s="543"/>
      <c r="H300" s="542"/>
      <c r="I300" s="542"/>
      <c r="J300" s="542"/>
      <c r="K300" s="542"/>
      <c r="L300" s="542"/>
      <c r="M300" s="542"/>
      <c r="N300" s="524"/>
      <c r="O300" s="524"/>
      <c r="P300" s="560"/>
      <c r="T300" s="529"/>
    </row>
    <row r="301" spans="4:20" s="502" customFormat="1" x14ac:dyDescent="0.2">
      <c r="D301" s="514"/>
      <c r="E301" s="542"/>
      <c r="F301" s="543"/>
      <c r="G301" s="543"/>
      <c r="H301" s="542"/>
      <c r="I301" s="542"/>
      <c r="J301" s="542"/>
      <c r="K301" s="542"/>
      <c r="L301" s="542"/>
      <c r="M301" s="542"/>
      <c r="N301" s="524"/>
      <c r="O301" s="524"/>
      <c r="P301" s="560"/>
      <c r="T301" s="529"/>
    </row>
    <row r="302" spans="4:20" s="502" customFormat="1" x14ac:dyDescent="0.2">
      <c r="D302" s="514"/>
      <c r="E302" s="542"/>
      <c r="F302" s="543"/>
      <c r="G302" s="543"/>
      <c r="H302" s="542"/>
      <c r="I302" s="542"/>
      <c r="J302" s="542"/>
      <c r="K302" s="542"/>
      <c r="L302" s="542"/>
      <c r="M302" s="542"/>
      <c r="N302" s="524"/>
      <c r="O302" s="524"/>
      <c r="P302" s="560"/>
      <c r="T302" s="529"/>
    </row>
    <row r="303" spans="4:20" s="502" customFormat="1" x14ac:dyDescent="0.2">
      <c r="D303" s="514"/>
      <c r="E303" s="542"/>
      <c r="F303" s="543"/>
      <c r="G303" s="543"/>
      <c r="H303" s="542"/>
      <c r="I303" s="542"/>
      <c r="J303" s="542"/>
      <c r="K303" s="542"/>
      <c r="L303" s="542"/>
      <c r="M303" s="542"/>
      <c r="N303" s="524"/>
      <c r="O303" s="524"/>
      <c r="P303" s="560"/>
      <c r="T303" s="529"/>
    </row>
    <row r="304" spans="4:20" s="502" customFormat="1" x14ac:dyDescent="0.2">
      <c r="D304" s="514"/>
      <c r="E304" s="542"/>
      <c r="F304" s="543"/>
      <c r="G304" s="543"/>
      <c r="H304" s="542"/>
      <c r="I304" s="542"/>
      <c r="J304" s="542"/>
      <c r="K304" s="542"/>
      <c r="L304" s="542"/>
      <c r="M304" s="542"/>
      <c r="N304" s="524"/>
      <c r="O304" s="524"/>
      <c r="P304" s="560"/>
      <c r="T304" s="529"/>
    </row>
    <row r="305" spans="4:20" s="502" customFormat="1" x14ac:dyDescent="0.2">
      <c r="D305" s="514"/>
      <c r="E305" s="542"/>
      <c r="F305" s="543"/>
      <c r="G305" s="543"/>
      <c r="H305" s="542"/>
      <c r="I305" s="542"/>
      <c r="J305" s="542"/>
      <c r="K305" s="542"/>
      <c r="L305" s="542"/>
      <c r="M305" s="542"/>
      <c r="N305" s="524"/>
      <c r="O305" s="524"/>
      <c r="P305" s="560"/>
      <c r="T305" s="529"/>
    </row>
    <row r="306" spans="4:20" s="502" customFormat="1" x14ac:dyDescent="0.2">
      <c r="D306" s="514"/>
      <c r="E306" s="542"/>
      <c r="F306" s="543"/>
      <c r="G306" s="543"/>
      <c r="H306" s="542"/>
      <c r="I306" s="542"/>
      <c r="J306" s="542"/>
      <c r="K306" s="542"/>
      <c r="L306" s="542"/>
      <c r="M306" s="542"/>
      <c r="N306" s="524"/>
      <c r="O306" s="524"/>
      <c r="P306" s="560"/>
      <c r="T306" s="529"/>
    </row>
    <row r="307" spans="4:20" s="502" customFormat="1" x14ac:dyDescent="0.2">
      <c r="D307" s="514"/>
      <c r="E307" s="542"/>
      <c r="F307" s="543"/>
      <c r="G307" s="543"/>
      <c r="H307" s="542"/>
      <c r="I307" s="542"/>
      <c r="J307" s="542"/>
      <c r="K307" s="542"/>
      <c r="L307" s="542"/>
      <c r="M307" s="542"/>
      <c r="N307" s="524"/>
      <c r="O307" s="524"/>
      <c r="P307" s="560"/>
      <c r="T307" s="529"/>
    </row>
    <row r="308" spans="4:20" s="502" customFormat="1" x14ac:dyDescent="0.2">
      <c r="D308" s="514"/>
      <c r="E308" s="542"/>
      <c r="F308" s="543"/>
      <c r="G308" s="543"/>
      <c r="H308" s="542"/>
      <c r="I308" s="542"/>
      <c r="J308" s="542"/>
      <c r="K308" s="542"/>
      <c r="L308" s="542"/>
      <c r="M308" s="542"/>
      <c r="N308" s="524"/>
      <c r="O308" s="524"/>
      <c r="P308" s="560"/>
      <c r="T308" s="529"/>
    </row>
    <row r="309" spans="4:20" s="502" customFormat="1" x14ac:dyDescent="0.2">
      <c r="D309" s="514"/>
      <c r="E309" s="542"/>
      <c r="F309" s="543"/>
      <c r="G309" s="543"/>
      <c r="H309" s="542"/>
      <c r="I309" s="542"/>
      <c r="J309" s="542"/>
      <c r="K309" s="542"/>
      <c r="L309" s="542"/>
      <c r="M309" s="542"/>
      <c r="N309" s="524"/>
      <c r="O309" s="524"/>
      <c r="P309" s="560"/>
      <c r="T309" s="529"/>
    </row>
    <row r="310" spans="4:20" s="502" customFormat="1" x14ac:dyDescent="0.2">
      <c r="D310" s="514"/>
      <c r="E310" s="542"/>
      <c r="F310" s="543"/>
      <c r="G310" s="543"/>
      <c r="H310" s="542"/>
      <c r="I310" s="542"/>
      <c r="J310" s="542"/>
      <c r="K310" s="542"/>
      <c r="L310" s="542"/>
      <c r="M310" s="542"/>
      <c r="N310" s="524"/>
      <c r="O310" s="524"/>
      <c r="P310" s="560"/>
      <c r="T310" s="529"/>
    </row>
    <row r="311" spans="4:20" s="502" customFormat="1" x14ac:dyDescent="0.2">
      <c r="D311" s="514"/>
      <c r="E311" s="542"/>
      <c r="F311" s="543"/>
      <c r="G311" s="543"/>
      <c r="H311" s="542"/>
      <c r="I311" s="542"/>
      <c r="J311" s="542"/>
      <c r="K311" s="542"/>
      <c r="L311" s="542"/>
      <c r="M311" s="542"/>
      <c r="N311" s="524"/>
      <c r="O311" s="524"/>
      <c r="P311" s="560"/>
      <c r="T311" s="529"/>
    </row>
    <row r="312" spans="4:20" s="502" customFormat="1" x14ac:dyDescent="0.2">
      <c r="D312" s="514"/>
      <c r="E312" s="542"/>
      <c r="F312" s="543"/>
      <c r="G312" s="543"/>
      <c r="H312" s="542"/>
      <c r="I312" s="542"/>
      <c r="J312" s="542"/>
      <c r="K312" s="542"/>
      <c r="L312" s="542"/>
      <c r="M312" s="542"/>
      <c r="N312" s="524"/>
      <c r="O312" s="524"/>
      <c r="P312" s="560"/>
      <c r="T312" s="529"/>
    </row>
    <row r="313" spans="4:20" s="502" customFormat="1" x14ac:dyDescent="0.2">
      <c r="D313" s="514"/>
      <c r="E313" s="542"/>
      <c r="F313" s="543"/>
      <c r="G313" s="543"/>
      <c r="H313" s="542"/>
      <c r="I313" s="542"/>
      <c r="J313" s="542"/>
      <c r="K313" s="542"/>
      <c r="L313" s="542"/>
      <c r="M313" s="542"/>
      <c r="N313" s="524"/>
      <c r="O313" s="524"/>
      <c r="P313" s="560"/>
      <c r="T313" s="529"/>
    </row>
    <row r="314" spans="4:20" s="502" customFormat="1" x14ac:dyDescent="0.2">
      <c r="D314" s="514"/>
      <c r="E314" s="542"/>
      <c r="F314" s="543"/>
      <c r="G314" s="543"/>
      <c r="H314" s="542"/>
      <c r="I314" s="542"/>
      <c r="J314" s="542"/>
      <c r="K314" s="542"/>
      <c r="L314" s="542"/>
      <c r="M314" s="542"/>
      <c r="N314" s="524"/>
      <c r="O314" s="524"/>
      <c r="P314" s="560"/>
      <c r="T314" s="529"/>
    </row>
    <row r="315" spans="4:20" s="502" customFormat="1" x14ac:dyDescent="0.2">
      <c r="D315" s="514"/>
      <c r="E315" s="542"/>
      <c r="F315" s="543"/>
      <c r="G315" s="543"/>
      <c r="H315" s="542"/>
      <c r="I315" s="542"/>
      <c r="J315" s="542"/>
      <c r="K315" s="542"/>
      <c r="L315" s="542"/>
      <c r="M315" s="542"/>
      <c r="N315" s="524"/>
      <c r="O315" s="524"/>
      <c r="P315" s="560"/>
      <c r="T315" s="529"/>
    </row>
    <row r="316" spans="4:20" s="502" customFormat="1" x14ac:dyDescent="0.2">
      <c r="D316" s="514"/>
      <c r="E316" s="542"/>
      <c r="F316" s="543"/>
      <c r="G316" s="543"/>
      <c r="H316" s="542"/>
      <c r="I316" s="542"/>
      <c r="J316" s="542"/>
      <c r="K316" s="542"/>
      <c r="L316" s="542"/>
      <c r="M316" s="542"/>
      <c r="N316" s="524"/>
      <c r="O316" s="524"/>
      <c r="P316" s="560"/>
      <c r="T316" s="529"/>
    </row>
    <row r="317" spans="4:20" s="502" customFormat="1" x14ac:dyDescent="0.2">
      <c r="D317" s="514"/>
      <c r="E317" s="542"/>
      <c r="F317" s="543"/>
      <c r="G317" s="543"/>
      <c r="H317" s="542"/>
      <c r="I317" s="542"/>
      <c r="J317" s="542"/>
      <c r="K317" s="542"/>
      <c r="L317" s="542"/>
      <c r="M317" s="542"/>
      <c r="N317" s="524"/>
      <c r="O317" s="524"/>
      <c r="P317" s="560"/>
      <c r="T317" s="529"/>
    </row>
    <row r="318" spans="4:20" s="502" customFormat="1" x14ac:dyDescent="0.2">
      <c r="D318" s="514"/>
      <c r="E318" s="542"/>
      <c r="F318" s="543"/>
      <c r="G318" s="543"/>
      <c r="H318" s="542"/>
      <c r="I318" s="542"/>
      <c r="J318" s="542"/>
      <c r="K318" s="542"/>
      <c r="L318" s="542"/>
      <c r="M318" s="542"/>
      <c r="N318" s="524"/>
      <c r="O318" s="524"/>
      <c r="P318" s="560"/>
      <c r="T318" s="529"/>
    </row>
    <row r="319" spans="4:20" s="502" customFormat="1" x14ac:dyDescent="0.2">
      <c r="D319" s="514"/>
      <c r="E319" s="542"/>
      <c r="F319" s="543"/>
      <c r="G319" s="543"/>
      <c r="H319" s="542"/>
      <c r="I319" s="542"/>
      <c r="J319" s="542"/>
      <c r="K319" s="542"/>
      <c r="L319" s="542"/>
      <c r="M319" s="542"/>
      <c r="N319" s="524"/>
      <c r="O319" s="524"/>
      <c r="P319" s="560"/>
      <c r="T319" s="529"/>
    </row>
    <row r="320" spans="4:20" s="502" customFormat="1" x14ac:dyDescent="0.2">
      <c r="D320" s="514"/>
      <c r="E320" s="542"/>
      <c r="F320" s="543"/>
      <c r="G320" s="543"/>
      <c r="H320" s="542"/>
      <c r="I320" s="542"/>
      <c r="J320" s="542"/>
      <c r="K320" s="542"/>
      <c r="L320" s="542"/>
      <c r="M320" s="542"/>
      <c r="N320" s="524"/>
      <c r="O320" s="524"/>
      <c r="P320" s="560"/>
      <c r="T320" s="529"/>
    </row>
    <row r="321" spans="4:20" s="502" customFormat="1" x14ac:dyDescent="0.2">
      <c r="D321" s="514"/>
      <c r="E321" s="542"/>
      <c r="F321" s="543"/>
      <c r="G321" s="543"/>
      <c r="H321" s="542"/>
      <c r="I321" s="542"/>
      <c r="J321" s="542"/>
      <c r="K321" s="542"/>
      <c r="L321" s="542"/>
      <c r="M321" s="542"/>
      <c r="N321" s="524"/>
      <c r="O321" s="524"/>
      <c r="P321" s="560"/>
      <c r="T321" s="529"/>
    </row>
    <row r="322" spans="4:20" s="502" customFormat="1" x14ac:dyDescent="0.2">
      <c r="D322" s="514"/>
      <c r="E322" s="542"/>
      <c r="F322" s="543"/>
      <c r="G322" s="543"/>
      <c r="H322" s="542"/>
      <c r="I322" s="542"/>
      <c r="J322" s="542"/>
      <c r="K322" s="542"/>
      <c r="L322" s="542"/>
      <c r="M322" s="542"/>
      <c r="N322" s="524"/>
      <c r="O322" s="524"/>
      <c r="P322" s="560"/>
      <c r="T322" s="529"/>
    </row>
    <row r="323" spans="4:20" s="502" customFormat="1" x14ac:dyDescent="0.2">
      <c r="D323" s="514"/>
      <c r="E323" s="542"/>
      <c r="F323" s="543"/>
      <c r="G323" s="543"/>
      <c r="H323" s="542"/>
      <c r="I323" s="542"/>
      <c r="J323" s="542"/>
      <c r="K323" s="542"/>
      <c r="L323" s="542"/>
      <c r="M323" s="542"/>
      <c r="N323" s="524"/>
      <c r="O323" s="524"/>
      <c r="P323" s="560"/>
      <c r="T323" s="529"/>
    </row>
    <row r="324" spans="4:20" s="502" customFormat="1" x14ac:dyDescent="0.2">
      <c r="D324" s="514"/>
      <c r="E324" s="542"/>
      <c r="F324" s="543"/>
      <c r="G324" s="543"/>
      <c r="H324" s="542"/>
      <c r="I324" s="542"/>
      <c r="J324" s="542"/>
      <c r="K324" s="542"/>
      <c r="L324" s="542"/>
      <c r="M324" s="542"/>
      <c r="N324" s="524"/>
      <c r="O324" s="524"/>
      <c r="P324" s="560"/>
      <c r="T324" s="529"/>
    </row>
    <row r="325" spans="4:20" s="502" customFormat="1" x14ac:dyDescent="0.2">
      <c r="D325" s="514"/>
      <c r="E325" s="542"/>
      <c r="F325" s="543"/>
      <c r="G325" s="543"/>
      <c r="H325" s="542"/>
      <c r="I325" s="542"/>
      <c r="J325" s="542"/>
      <c r="K325" s="542"/>
      <c r="L325" s="542"/>
      <c r="M325" s="542"/>
      <c r="N325" s="524"/>
      <c r="O325" s="524"/>
      <c r="P325" s="560"/>
      <c r="T325" s="529"/>
    </row>
    <row r="326" spans="4:20" s="502" customFormat="1" x14ac:dyDescent="0.2">
      <c r="D326" s="514"/>
      <c r="E326" s="542"/>
      <c r="F326" s="543"/>
      <c r="G326" s="543"/>
      <c r="H326" s="542"/>
      <c r="I326" s="542"/>
      <c r="J326" s="542"/>
      <c r="K326" s="542"/>
      <c r="L326" s="542"/>
      <c r="M326" s="542"/>
      <c r="N326" s="524"/>
      <c r="O326" s="524"/>
      <c r="P326" s="560"/>
      <c r="T326" s="529"/>
    </row>
    <row r="327" spans="4:20" s="502" customFormat="1" x14ac:dyDescent="0.2">
      <c r="D327" s="514"/>
      <c r="E327" s="542"/>
      <c r="F327" s="543"/>
      <c r="G327" s="543"/>
      <c r="H327" s="542"/>
      <c r="I327" s="542"/>
      <c r="J327" s="542"/>
      <c r="K327" s="542"/>
      <c r="L327" s="542"/>
      <c r="M327" s="542"/>
      <c r="N327" s="524"/>
      <c r="O327" s="524"/>
      <c r="P327" s="560"/>
      <c r="T327" s="529"/>
    </row>
    <row r="328" spans="4:20" s="502" customFormat="1" x14ac:dyDescent="0.2">
      <c r="D328" s="514"/>
      <c r="E328" s="542"/>
      <c r="F328" s="543"/>
      <c r="G328" s="543"/>
      <c r="H328" s="542"/>
      <c r="I328" s="542"/>
      <c r="J328" s="542"/>
      <c r="K328" s="542"/>
      <c r="L328" s="542"/>
      <c r="M328" s="542"/>
      <c r="N328" s="524"/>
      <c r="O328" s="524"/>
      <c r="P328" s="560"/>
      <c r="T328" s="529"/>
    </row>
    <row r="329" spans="4:20" s="502" customFormat="1" x14ac:dyDescent="0.2">
      <c r="D329" s="514"/>
      <c r="E329" s="542"/>
      <c r="F329" s="543"/>
      <c r="G329" s="543"/>
      <c r="H329" s="542"/>
      <c r="I329" s="542"/>
      <c r="J329" s="542"/>
      <c r="K329" s="542"/>
      <c r="L329" s="542"/>
      <c r="M329" s="542"/>
      <c r="N329" s="524"/>
      <c r="O329" s="524"/>
      <c r="P329" s="560"/>
      <c r="T329" s="529"/>
    </row>
    <row r="330" spans="4:20" s="502" customFormat="1" x14ac:dyDescent="0.2">
      <c r="D330" s="514"/>
      <c r="E330" s="542"/>
      <c r="F330" s="543"/>
      <c r="G330" s="543"/>
      <c r="H330" s="542"/>
      <c r="I330" s="542"/>
      <c r="J330" s="542"/>
      <c r="K330" s="542"/>
      <c r="L330" s="542"/>
      <c r="M330" s="542"/>
      <c r="N330" s="524"/>
      <c r="O330" s="524"/>
      <c r="P330" s="560"/>
      <c r="T330" s="529"/>
    </row>
    <row r="331" spans="4:20" s="502" customFormat="1" x14ac:dyDescent="0.2">
      <c r="D331" s="514"/>
      <c r="E331" s="542"/>
      <c r="F331" s="543"/>
      <c r="G331" s="543"/>
      <c r="H331" s="542"/>
      <c r="I331" s="542"/>
      <c r="J331" s="542"/>
      <c r="K331" s="542"/>
      <c r="L331" s="542"/>
      <c r="M331" s="542"/>
      <c r="N331" s="524"/>
      <c r="O331" s="524"/>
      <c r="P331" s="560"/>
      <c r="T331" s="529"/>
    </row>
    <row r="332" spans="4:20" s="502" customFormat="1" x14ac:dyDescent="0.2">
      <c r="D332" s="514"/>
      <c r="E332" s="542"/>
      <c r="F332" s="543"/>
      <c r="G332" s="543"/>
      <c r="H332" s="542"/>
      <c r="I332" s="542"/>
      <c r="J332" s="542"/>
      <c r="K332" s="542"/>
      <c r="L332" s="542"/>
      <c r="M332" s="542"/>
      <c r="N332" s="524"/>
      <c r="O332" s="524"/>
      <c r="P332" s="560"/>
      <c r="T332" s="529"/>
    </row>
    <row r="333" spans="4:20" s="502" customFormat="1" x14ac:dyDescent="0.2">
      <c r="D333" s="514"/>
      <c r="E333" s="542"/>
      <c r="F333" s="543"/>
      <c r="G333" s="543"/>
      <c r="H333" s="542"/>
      <c r="I333" s="542"/>
      <c r="J333" s="542"/>
      <c r="K333" s="542"/>
      <c r="L333" s="542"/>
      <c r="M333" s="542"/>
      <c r="N333" s="524"/>
      <c r="O333" s="524"/>
      <c r="P333" s="560"/>
      <c r="T333" s="529"/>
    </row>
    <row r="334" spans="4:20" s="502" customFormat="1" x14ac:dyDescent="0.2">
      <c r="D334" s="514"/>
      <c r="E334" s="542"/>
      <c r="F334" s="543"/>
      <c r="G334" s="543"/>
      <c r="H334" s="542"/>
      <c r="I334" s="542"/>
      <c r="J334" s="542"/>
      <c r="K334" s="542"/>
      <c r="L334" s="542"/>
      <c r="M334" s="542"/>
      <c r="N334" s="524"/>
      <c r="O334" s="524"/>
      <c r="P334" s="560"/>
      <c r="T334" s="529"/>
    </row>
    <row r="335" spans="4:20" s="502" customFormat="1" x14ac:dyDescent="0.2">
      <c r="D335" s="514"/>
      <c r="E335" s="542"/>
      <c r="F335" s="543"/>
      <c r="G335" s="543"/>
      <c r="H335" s="542"/>
      <c r="I335" s="542"/>
      <c r="J335" s="542"/>
      <c r="K335" s="542"/>
      <c r="L335" s="542"/>
      <c r="M335" s="542"/>
      <c r="N335" s="524"/>
      <c r="O335" s="524"/>
      <c r="P335" s="560"/>
      <c r="T335" s="529"/>
    </row>
    <row r="336" spans="4:20" s="502" customFormat="1" x14ac:dyDescent="0.2">
      <c r="D336" s="514"/>
      <c r="E336" s="542"/>
      <c r="F336" s="543"/>
      <c r="G336" s="543"/>
      <c r="H336" s="542"/>
      <c r="I336" s="542"/>
      <c r="J336" s="542"/>
      <c r="K336" s="542"/>
      <c r="L336" s="542"/>
      <c r="M336" s="542"/>
      <c r="N336" s="524"/>
      <c r="O336" s="524"/>
      <c r="P336" s="560"/>
      <c r="T336" s="529"/>
    </row>
    <row r="337" spans="4:20" s="502" customFormat="1" x14ac:dyDescent="0.2">
      <c r="D337" s="514"/>
      <c r="E337" s="542"/>
      <c r="F337" s="543"/>
      <c r="G337" s="543"/>
      <c r="H337" s="542"/>
      <c r="I337" s="542"/>
      <c r="J337" s="542"/>
      <c r="K337" s="542"/>
      <c r="L337" s="542"/>
      <c r="M337" s="542"/>
      <c r="N337" s="524"/>
      <c r="O337" s="524"/>
      <c r="P337" s="560"/>
      <c r="T337" s="529"/>
    </row>
    <row r="338" spans="4:20" s="502" customFormat="1" x14ac:dyDescent="0.2">
      <c r="D338" s="514"/>
      <c r="E338" s="542"/>
      <c r="F338" s="543"/>
      <c r="G338" s="543"/>
      <c r="H338" s="542"/>
      <c r="I338" s="542"/>
      <c r="J338" s="542"/>
      <c r="K338" s="542"/>
      <c r="L338" s="542"/>
      <c r="M338" s="542"/>
      <c r="N338" s="524"/>
      <c r="O338" s="524"/>
      <c r="P338" s="560"/>
      <c r="T338" s="529"/>
    </row>
    <row r="339" spans="4:20" s="502" customFormat="1" x14ac:dyDescent="0.2">
      <c r="D339" s="514"/>
      <c r="E339" s="542"/>
      <c r="F339" s="543"/>
      <c r="G339" s="543"/>
      <c r="H339" s="542"/>
      <c r="I339" s="542"/>
      <c r="J339" s="542"/>
      <c r="K339" s="542"/>
      <c r="L339" s="542"/>
      <c r="M339" s="542"/>
      <c r="N339" s="524"/>
      <c r="O339" s="524"/>
      <c r="P339" s="560"/>
      <c r="T339" s="529"/>
    </row>
    <row r="340" spans="4:20" s="502" customFormat="1" x14ac:dyDescent="0.2">
      <c r="D340" s="514"/>
      <c r="E340" s="542"/>
      <c r="F340" s="543"/>
      <c r="G340" s="543"/>
      <c r="H340" s="542"/>
      <c r="I340" s="542"/>
      <c r="J340" s="542"/>
      <c r="K340" s="542"/>
      <c r="L340" s="542"/>
      <c r="M340" s="542"/>
      <c r="N340" s="524"/>
      <c r="O340" s="524"/>
      <c r="P340" s="560"/>
      <c r="T340" s="529"/>
    </row>
    <row r="341" spans="4:20" s="502" customFormat="1" x14ac:dyDescent="0.2">
      <c r="D341" s="514"/>
      <c r="E341" s="542"/>
      <c r="F341" s="543"/>
      <c r="G341" s="543"/>
      <c r="H341" s="542"/>
      <c r="I341" s="542"/>
      <c r="J341" s="542"/>
      <c r="K341" s="542"/>
      <c r="L341" s="542"/>
      <c r="M341" s="542"/>
      <c r="N341" s="524"/>
      <c r="O341" s="524"/>
      <c r="P341" s="560"/>
      <c r="T341" s="529"/>
    </row>
    <row r="342" spans="4:20" s="502" customFormat="1" x14ac:dyDescent="0.2">
      <c r="D342" s="514"/>
      <c r="E342" s="542"/>
      <c r="F342" s="543"/>
      <c r="G342" s="543"/>
      <c r="H342" s="542"/>
      <c r="I342" s="542"/>
      <c r="J342" s="542"/>
      <c r="K342" s="542"/>
      <c r="L342" s="542"/>
      <c r="M342" s="542"/>
      <c r="N342" s="524"/>
      <c r="O342" s="524"/>
      <c r="P342" s="560"/>
      <c r="T342" s="529"/>
    </row>
    <row r="343" spans="4:20" s="502" customFormat="1" x14ac:dyDescent="0.2">
      <c r="D343" s="514"/>
      <c r="E343" s="542"/>
      <c r="F343" s="543"/>
      <c r="G343" s="543"/>
      <c r="H343" s="542"/>
      <c r="I343" s="542"/>
      <c r="J343" s="542"/>
      <c r="K343" s="542"/>
      <c r="L343" s="542"/>
      <c r="M343" s="542"/>
      <c r="N343" s="524"/>
      <c r="O343" s="524"/>
      <c r="P343" s="560"/>
      <c r="T343" s="529"/>
    </row>
    <row r="344" spans="4:20" s="502" customFormat="1" x14ac:dyDescent="0.2">
      <c r="D344" s="514"/>
      <c r="E344" s="542"/>
      <c r="F344" s="543"/>
      <c r="G344" s="543"/>
      <c r="H344" s="542"/>
      <c r="I344" s="542"/>
      <c r="J344" s="542"/>
      <c r="K344" s="542"/>
      <c r="L344" s="542"/>
      <c r="M344" s="542"/>
      <c r="N344" s="524"/>
      <c r="O344" s="524"/>
      <c r="P344" s="560"/>
      <c r="T344" s="529"/>
    </row>
    <row r="345" spans="4:20" s="502" customFormat="1" x14ac:dyDescent="0.2">
      <c r="D345" s="514"/>
      <c r="E345" s="542"/>
      <c r="F345" s="543"/>
      <c r="G345" s="543"/>
      <c r="H345" s="542"/>
      <c r="I345" s="542"/>
      <c r="J345" s="542"/>
      <c r="K345" s="542"/>
      <c r="L345" s="542"/>
      <c r="M345" s="542"/>
      <c r="N345" s="524"/>
      <c r="O345" s="524"/>
      <c r="P345" s="560"/>
      <c r="T345" s="529"/>
    </row>
    <row r="346" spans="4:20" s="502" customFormat="1" x14ac:dyDescent="0.2">
      <c r="D346" s="514"/>
      <c r="E346" s="542"/>
      <c r="F346" s="543"/>
      <c r="G346" s="543"/>
      <c r="H346" s="542"/>
      <c r="I346" s="542"/>
      <c r="J346" s="542"/>
      <c r="K346" s="542"/>
      <c r="L346" s="542"/>
      <c r="M346" s="542"/>
      <c r="N346" s="524"/>
      <c r="O346" s="524"/>
      <c r="P346" s="560"/>
      <c r="T346" s="529"/>
    </row>
    <row r="347" spans="4:20" s="502" customFormat="1" x14ac:dyDescent="0.2">
      <c r="D347" s="514"/>
      <c r="E347" s="542"/>
      <c r="F347" s="543"/>
      <c r="G347" s="543"/>
      <c r="H347" s="542"/>
      <c r="I347" s="542"/>
      <c r="J347" s="542"/>
      <c r="K347" s="542"/>
      <c r="L347" s="542"/>
      <c r="M347" s="542"/>
      <c r="N347" s="524"/>
      <c r="O347" s="524"/>
      <c r="P347" s="560"/>
      <c r="T347" s="529"/>
    </row>
    <row r="348" spans="4:20" s="502" customFormat="1" x14ac:dyDescent="0.2">
      <c r="D348" s="514"/>
      <c r="E348" s="542"/>
      <c r="F348" s="543"/>
      <c r="G348" s="543"/>
      <c r="H348" s="542"/>
      <c r="I348" s="542"/>
      <c r="J348" s="542"/>
      <c r="K348" s="542"/>
      <c r="L348" s="542"/>
      <c r="M348" s="542"/>
      <c r="N348" s="524"/>
      <c r="O348" s="524"/>
      <c r="P348" s="560"/>
      <c r="T348" s="529"/>
    </row>
    <row r="349" spans="4:20" s="502" customFormat="1" x14ac:dyDescent="0.2">
      <c r="D349" s="514"/>
      <c r="E349" s="542"/>
      <c r="F349" s="543"/>
      <c r="G349" s="543"/>
      <c r="H349" s="542"/>
      <c r="I349" s="542"/>
      <c r="J349" s="542"/>
      <c r="K349" s="542"/>
      <c r="L349" s="542"/>
      <c r="M349" s="542"/>
      <c r="N349" s="524"/>
      <c r="O349" s="524"/>
      <c r="P349" s="560"/>
      <c r="T349" s="529"/>
    </row>
    <row r="350" spans="4:20" s="502" customFormat="1" x14ac:dyDescent="0.2">
      <c r="D350" s="514"/>
      <c r="E350" s="542"/>
      <c r="F350" s="543"/>
      <c r="G350" s="543"/>
      <c r="H350" s="542"/>
      <c r="I350" s="542"/>
      <c r="J350" s="542"/>
      <c r="K350" s="542"/>
      <c r="L350" s="542"/>
      <c r="M350" s="542"/>
      <c r="N350" s="524"/>
      <c r="O350" s="524"/>
      <c r="P350" s="560"/>
      <c r="T350" s="529"/>
    </row>
    <row r="351" spans="4:20" s="502" customFormat="1" x14ac:dyDescent="0.2">
      <c r="D351" s="514"/>
      <c r="E351" s="542"/>
      <c r="F351" s="543"/>
      <c r="G351" s="543"/>
      <c r="H351" s="542"/>
      <c r="I351" s="542"/>
      <c r="J351" s="542"/>
      <c r="K351" s="542"/>
      <c r="L351" s="542"/>
      <c r="M351" s="542"/>
      <c r="N351" s="524"/>
      <c r="O351" s="524"/>
      <c r="P351" s="560"/>
      <c r="T351" s="529"/>
    </row>
    <row r="352" spans="4:20" s="502" customFormat="1" x14ac:dyDescent="0.2">
      <c r="D352" s="514"/>
      <c r="E352" s="542"/>
      <c r="F352" s="543"/>
      <c r="G352" s="543"/>
      <c r="H352" s="542"/>
      <c r="I352" s="542"/>
      <c r="J352" s="542"/>
      <c r="K352" s="542"/>
      <c r="L352" s="542"/>
      <c r="M352" s="542"/>
      <c r="N352" s="524"/>
      <c r="O352" s="524"/>
      <c r="P352" s="560"/>
      <c r="T352" s="529"/>
    </row>
    <row r="353" spans="4:20" s="502" customFormat="1" x14ac:dyDescent="0.2">
      <c r="D353" s="514"/>
      <c r="E353" s="542"/>
      <c r="F353" s="543"/>
      <c r="G353" s="543"/>
      <c r="H353" s="542"/>
      <c r="I353" s="542"/>
      <c r="J353" s="542"/>
      <c r="K353" s="542"/>
      <c r="L353" s="542"/>
      <c r="M353" s="542"/>
      <c r="N353" s="524"/>
      <c r="O353" s="524"/>
      <c r="P353" s="560"/>
      <c r="T353" s="529"/>
    </row>
    <row r="354" spans="4:20" s="502" customFormat="1" x14ac:dyDescent="0.2">
      <c r="D354" s="514"/>
      <c r="E354" s="542"/>
      <c r="F354" s="543"/>
      <c r="G354" s="543"/>
      <c r="H354" s="542"/>
      <c r="I354" s="542"/>
      <c r="J354" s="542"/>
      <c r="K354" s="542"/>
      <c r="L354" s="542"/>
      <c r="M354" s="542"/>
      <c r="N354" s="524"/>
      <c r="O354" s="524"/>
      <c r="P354" s="560"/>
      <c r="T354" s="529"/>
    </row>
    <row r="355" spans="4:20" s="502" customFormat="1" x14ac:dyDescent="0.2">
      <c r="D355" s="514"/>
      <c r="E355" s="542"/>
      <c r="F355" s="543"/>
      <c r="G355" s="543"/>
      <c r="H355" s="542"/>
      <c r="I355" s="542"/>
      <c r="J355" s="542"/>
      <c r="K355" s="542"/>
      <c r="L355" s="542"/>
      <c r="M355" s="542"/>
      <c r="N355" s="524"/>
      <c r="O355" s="524"/>
      <c r="P355" s="560"/>
      <c r="T355" s="529"/>
    </row>
    <row r="356" spans="4:20" s="502" customFormat="1" x14ac:dyDescent="0.2">
      <c r="D356" s="514"/>
      <c r="E356" s="542"/>
      <c r="F356" s="543"/>
      <c r="G356" s="543"/>
      <c r="H356" s="542"/>
      <c r="I356" s="542"/>
      <c r="J356" s="542"/>
      <c r="K356" s="542"/>
      <c r="L356" s="542"/>
      <c r="M356" s="542"/>
      <c r="N356" s="524"/>
      <c r="O356" s="524"/>
      <c r="P356" s="560"/>
      <c r="T356" s="529"/>
    </row>
    <row r="357" spans="4:20" s="502" customFormat="1" x14ac:dyDescent="0.2">
      <c r="D357" s="514"/>
      <c r="E357" s="542"/>
      <c r="F357" s="543"/>
      <c r="G357" s="543"/>
      <c r="H357" s="542"/>
      <c r="I357" s="542"/>
      <c r="J357" s="542"/>
      <c r="K357" s="542"/>
      <c r="L357" s="542"/>
      <c r="M357" s="542"/>
      <c r="N357" s="524"/>
      <c r="O357" s="524"/>
      <c r="P357" s="560"/>
      <c r="T357" s="529"/>
    </row>
    <row r="358" spans="4:20" s="502" customFormat="1" x14ac:dyDescent="0.2">
      <c r="D358" s="514"/>
      <c r="E358" s="542"/>
      <c r="F358" s="543"/>
      <c r="G358" s="543"/>
      <c r="H358" s="542"/>
      <c r="I358" s="542"/>
      <c r="J358" s="542"/>
      <c r="K358" s="542"/>
      <c r="L358" s="542"/>
      <c r="M358" s="542"/>
      <c r="N358" s="524"/>
      <c r="O358" s="524"/>
      <c r="P358" s="560"/>
      <c r="T358" s="529"/>
    </row>
    <row r="359" spans="4:20" s="502" customFormat="1" x14ac:dyDescent="0.2">
      <c r="D359" s="514"/>
      <c r="E359" s="542"/>
      <c r="F359" s="543"/>
      <c r="G359" s="543"/>
      <c r="H359" s="542"/>
      <c r="I359" s="542"/>
      <c r="J359" s="542"/>
      <c r="K359" s="542"/>
      <c r="L359" s="542"/>
      <c r="M359" s="542"/>
      <c r="N359" s="524"/>
      <c r="O359" s="524"/>
      <c r="P359" s="560"/>
      <c r="T359" s="529"/>
    </row>
    <row r="360" spans="4:20" s="502" customFormat="1" x14ac:dyDescent="0.2">
      <c r="D360" s="514"/>
      <c r="E360" s="542"/>
      <c r="F360" s="543"/>
      <c r="G360" s="543"/>
      <c r="H360" s="542"/>
      <c r="I360" s="542"/>
      <c r="J360" s="542"/>
      <c r="K360" s="542"/>
      <c r="L360" s="542"/>
      <c r="M360" s="542"/>
      <c r="N360" s="524"/>
      <c r="O360" s="524"/>
      <c r="P360" s="560"/>
      <c r="T360" s="529"/>
    </row>
    <row r="361" spans="4:20" s="502" customFormat="1" x14ac:dyDescent="0.2">
      <c r="D361" s="514"/>
      <c r="E361" s="542"/>
      <c r="F361" s="543"/>
      <c r="G361" s="543"/>
      <c r="H361" s="542"/>
      <c r="I361" s="542"/>
      <c r="J361" s="542"/>
      <c r="K361" s="542"/>
      <c r="L361" s="542"/>
      <c r="M361" s="542"/>
      <c r="N361" s="524"/>
      <c r="O361" s="524"/>
      <c r="P361" s="560"/>
      <c r="T361" s="529"/>
    </row>
    <row r="362" spans="4:20" s="502" customFormat="1" x14ac:dyDescent="0.2">
      <c r="D362" s="514"/>
      <c r="E362" s="542"/>
      <c r="F362" s="543"/>
      <c r="G362" s="543"/>
      <c r="H362" s="542"/>
      <c r="I362" s="542"/>
      <c r="J362" s="542"/>
      <c r="K362" s="542"/>
      <c r="L362" s="542"/>
      <c r="M362" s="542"/>
      <c r="N362" s="524"/>
      <c r="O362" s="524"/>
      <c r="P362" s="560"/>
      <c r="T362" s="529"/>
    </row>
    <row r="363" spans="4:20" s="502" customFormat="1" x14ac:dyDescent="0.2">
      <c r="D363" s="514"/>
      <c r="E363" s="542"/>
      <c r="F363" s="543"/>
      <c r="G363" s="543"/>
      <c r="H363" s="542"/>
      <c r="I363" s="542"/>
      <c r="J363" s="542"/>
      <c r="K363" s="542"/>
      <c r="L363" s="542"/>
      <c r="M363" s="542"/>
      <c r="N363" s="524"/>
      <c r="O363" s="524"/>
      <c r="P363" s="560"/>
      <c r="T363" s="529"/>
    </row>
    <row r="364" spans="4:20" s="502" customFormat="1" x14ac:dyDescent="0.2">
      <c r="D364" s="514"/>
      <c r="E364" s="542"/>
      <c r="F364" s="543"/>
      <c r="G364" s="543"/>
      <c r="H364" s="542"/>
      <c r="I364" s="542"/>
      <c r="J364" s="542"/>
      <c r="K364" s="542"/>
      <c r="L364" s="542"/>
      <c r="M364" s="542"/>
      <c r="N364" s="524"/>
      <c r="O364" s="524"/>
      <c r="P364" s="560"/>
      <c r="T364" s="529"/>
    </row>
    <row r="365" spans="4:20" s="502" customFormat="1" x14ac:dyDescent="0.2">
      <c r="D365" s="514"/>
      <c r="E365" s="542"/>
      <c r="F365" s="543"/>
      <c r="G365" s="543"/>
      <c r="H365" s="542"/>
      <c r="I365" s="542"/>
      <c r="J365" s="542"/>
      <c r="K365" s="542"/>
      <c r="L365" s="542"/>
      <c r="M365" s="542"/>
      <c r="N365" s="524"/>
      <c r="O365" s="524"/>
      <c r="P365" s="560"/>
      <c r="T365" s="529"/>
    </row>
    <row r="366" spans="4:20" s="502" customFormat="1" x14ac:dyDescent="0.2">
      <c r="D366" s="514"/>
      <c r="E366" s="542"/>
      <c r="F366" s="543"/>
      <c r="G366" s="543"/>
      <c r="H366" s="542"/>
      <c r="I366" s="542"/>
      <c r="J366" s="542"/>
      <c r="K366" s="542"/>
      <c r="L366" s="542"/>
      <c r="M366" s="542"/>
      <c r="N366" s="524"/>
      <c r="O366" s="524"/>
      <c r="P366" s="560"/>
      <c r="T366" s="529"/>
    </row>
    <row r="367" spans="4:20" s="502" customFormat="1" x14ac:dyDescent="0.2">
      <c r="D367" s="514"/>
      <c r="E367" s="542"/>
      <c r="F367" s="543"/>
      <c r="G367" s="543"/>
      <c r="H367" s="542"/>
      <c r="I367" s="542"/>
      <c r="J367" s="542"/>
      <c r="K367" s="542"/>
      <c r="L367" s="542"/>
      <c r="M367" s="542"/>
      <c r="N367" s="524"/>
      <c r="O367" s="524"/>
      <c r="P367" s="560"/>
      <c r="T367" s="529"/>
    </row>
    <row r="368" spans="4:20" s="502" customFormat="1" x14ac:dyDescent="0.2">
      <c r="D368" s="514"/>
      <c r="E368" s="542"/>
      <c r="F368" s="543"/>
      <c r="G368" s="543"/>
      <c r="H368" s="542"/>
      <c r="I368" s="542"/>
      <c r="J368" s="542"/>
      <c r="K368" s="542"/>
      <c r="L368" s="542"/>
      <c r="M368" s="542"/>
      <c r="N368" s="524"/>
      <c r="O368" s="524"/>
      <c r="P368" s="560"/>
      <c r="T368" s="529"/>
    </row>
    <row r="369" spans="4:20" s="502" customFormat="1" x14ac:dyDescent="0.2">
      <c r="D369" s="514"/>
      <c r="E369" s="542"/>
      <c r="F369" s="543"/>
      <c r="G369" s="543"/>
      <c r="H369" s="542"/>
      <c r="I369" s="542"/>
      <c r="J369" s="542"/>
      <c r="K369" s="542"/>
      <c r="L369" s="542"/>
      <c r="M369" s="542"/>
      <c r="N369" s="524"/>
      <c r="O369" s="524"/>
      <c r="P369" s="560"/>
      <c r="T369" s="529"/>
    </row>
    <row r="370" spans="4:20" s="502" customFormat="1" x14ac:dyDescent="0.2">
      <c r="D370" s="514"/>
      <c r="E370" s="542"/>
      <c r="F370" s="543"/>
      <c r="G370" s="543"/>
      <c r="H370" s="542"/>
      <c r="I370" s="542"/>
      <c r="J370" s="542"/>
      <c r="K370" s="542"/>
      <c r="L370" s="542"/>
      <c r="M370" s="542"/>
      <c r="N370" s="524"/>
      <c r="O370" s="524"/>
      <c r="P370" s="560"/>
      <c r="T370" s="529"/>
    </row>
    <row r="371" spans="4:20" s="502" customFormat="1" x14ac:dyDescent="0.2">
      <c r="D371" s="514"/>
      <c r="E371" s="542"/>
      <c r="F371" s="543"/>
      <c r="G371" s="543"/>
      <c r="H371" s="542"/>
      <c r="I371" s="542"/>
      <c r="J371" s="542"/>
      <c r="K371" s="542"/>
      <c r="L371" s="542"/>
      <c r="M371" s="542"/>
      <c r="N371" s="524"/>
      <c r="O371" s="524"/>
      <c r="P371" s="560"/>
      <c r="T371" s="529"/>
    </row>
    <row r="372" spans="4:20" s="502" customFormat="1" x14ac:dyDescent="0.2">
      <c r="D372" s="514"/>
      <c r="E372" s="542"/>
      <c r="F372" s="543"/>
      <c r="G372" s="543"/>
      <c r="H372" s="542"/>
      <c r="I372" s="542"/>
      <c r="J372" s="542"/>
      <c r="K372" s="542"/>
      <c r="L372" s="542"/>
      <c r="M372" s="542"/>
      <c r="N372" s="524"/>
      <c r="O372" s="524"/>
      <c r="P372" s="560"/>
      <c r="T372" s="529"/>
    </row>
    <row r="373" spans="4:20" s="502" customFormat="1" x14ac:dyDescent="0.2">
      <c r="D373" s="514"/>
      <c r="E373" s="542"/>
      <c r="F373" s="543"/>
      <c r="G373" s="543"/>
      <c r="H373" s="542"/>
      <c r="I373" s="542"/>
      <c r="J373" s="542"/>
      <c r="K373" s="542"/>
      <c r="L373" s="542"/>
      <c r="M373" s="542"/>
      <c r="N373" s="524"/>
      <c r="O373" s="524"/>
      <c r="P373" s="560"/>
      <c r="T373" s="529"/>
    </row>
    <row r="374" spans="4:20" s="502" customFormat="1" x14ac:dyDescent="0.2">
      <c r="D374" s="514"/>
      <c r="E374" s="542"/>
      <c r="F374" s="543"/>
      <c r="G374" s="543"/>
      <c r="H374" s="542"/>
      <c r="I374" s="542"/>
      <c r="J374" s="542"/>
      <c r="K374" s="542"/>
      <c r="L374" s="542"/>
      <c r="M374" s="542"/>
      <c r="N374" s="524"/>
      <c r="O374" s="524"/>
      <c r="P374" s="560"/>
      <c r="T374" s="529"/>
    </row>
    <row r="375" spans="4:20" s="502" customFormat="1" x14ac:dyDescent="0.2">
      <c r="D375" s="514"/>
      <c r="E375" s="542"/>
      <c r="F375" s="543"/>
      <c r="G375" s="543"/>
      <c r="H375" s="542"/>
      <c r="I375" s="542"/>
      <c r="J375" s="542"/>
      <c r="K375" s="542"/>
      <c r="L375" s="542"/>
      <c r="M375" s="542"/>
      <c r="N375" s="524"/>
      <c r="O375" s="524"/>
      <c r="P375" s="560"/>
      <c r="T375" s="529"/>
    </row>
    <row r="376" spans="4:20" s="502" customFormat="1" x14ac:dyDescent="0.2">
      <c r="D376" s="514"/>
      <c r="E376" s="542"/>
      <c r="F376" s="543"/>
      <c r="G376" s="543"/>
      <c r="H376" s="542"/>
      <c r="I376" s="542"/>
      <c r="J376" s="542"/>
      <c r="K376" s="542"/>
      <c r="L376" s="542"/>
      <c r="M376" s="542"/>
      <c r="N376" s="524"/>
      <c r="O376" s="524"/>
      <c r="P376" s="560"/>
      <c r="T376" s="529"/>
    </row>
    <row r="377" spans="4:20" s="502" customFormat="1" x14ac:dyDescent="0.2">
      <c r="D377" s="514"/>
      <c r="E377" s="542"/>
      <c r="F377" s="543"/>
      <c r="G377" s="543"/>
      <c r="H377" s="542"/>
      <c r="I377" s="542"/>
      <c r="J377" s="542"/>
      <c r="K377" s="542"/>
      <c r="L377" s="542"/>
      <c r="M377" s="542"/>
      <c r="N377" s="524"/>
      <c r="O377" s="524"/>
      <c r="P377" s="560"/>
      <c r="T377" s="529"/>
    </row>
    <row r="378" spans="4:20" s="502" customFormat="1" x14ac:dyDescent="0.2">
      <c r="D378" s="514"/>
      <c r="E378" s="542"/>
      <c r="F378" s="543"/>
      <c r="G378" s="543"/>
      <c r="H378" s="542"/>
      <c r="I378" s="542"/>
      <c r="J378" s="542"/>
      <c r="K378" s="542"/>
      <c r="L378" s="542"/>
      <c r="M378" s="542"/>
      <c r="N378" s="524"/>
      <c r="O378" s="524"/>
      <c r="P378" s="560"/>
      <c r="T378" s="529"/>
    </row>
    <row r="379" spans="4:20" s="502" customFormat="1" x14ac:dyDescent="0.2">
      <c r="D379" s="514"/>
      <c r="E379" s="542"/>
      <c r="F379" s="543"/>
      <c r="G379" s="543"/>
      <c r="H379" s="542"/>
      <c r="I379" s="542"/>
      <c r="J379" s="542"/>
      <c r="K379" s="542"/>
      <c r="L379" s="542"/>
      <c r="M379" s="542"/>
      <c r="N379" s="524"/>
      <c r="O379" s="524"/>
      <c r="P379" s="560"/>
      <c r="T379" s="529"/>
    </row>
    <row r="380" spans="4:20" s="502" customFormat="1" x14ac:dyDescent="0.2">
      <c r="D380" s="514"/>
      <c r="E380" s="542"/>
      <c r="F380" s="543"/>
      <c r="G380" s="543"/>
      <c r="H380" s="542"/>
      <c r="I380" s="542"/>
      <c r="J380" s="542"/>
      <c r="K380" s="542"/>
      <c r="L380" s="542"/>
      <c r="M380" s="542"/>
      <c r="N380" s="524"/>
      <c r="O380" s="524"/>
      <c r="P380" s="560"/>
      <c r="T380" s="529"/>
    </row>
    <row r="381" spans="4:20" s="502" customFormat="1" x14ac:dyDescent="0.2">
      <c r="D381" s="514"/>
      <c r="E381" s="542"/>
      <c r="F381" s="543"/>
      <c r="G381" s="543"/>
      <c r="H381" s="542"/>
      <c r="I381" s="542"/>
      <c r="J381" s="542"/>
      <c r="K381" s="542"/>
      <c r="L381" s="542"/>
      <c r="M381" s="542"/>
      <c r="N381" s="524"/>
      <c r="O381" s="524"/>
      <c r="P381" s="560"/>
      <c r="T381" s="529"/>
    </row>
    <row r="382" spans="4:20" s="502" customFormat="1" x14ac:dyDescent="0.2">
      <c r="D382" s="514"/>
      <c r="E382" s="542"/>
      <c r="F382" s="543"/>
      <c r="G382" s="543"/>
      <c r="H382" s="542"/>
      <c r="I382" s="542"/>
      <c r="J382" s="542"/>
      <c r="K382" s="542"/>
      <c r="L382" s="542"/>
      <c r="M382" s="542"/>
      <c r="N382" s="524"/>
      <c r="O382" s="524"/>
      <c r="P382" s="560"/>
      <c r="T382" s="529"/>
    </row>
    <row r="383" spans="4:20" s="502" customFormat="1" x14ac:dyDescent="0.2">
      <c r="D383" s="514"/>
      <c r="E383" s="542"/>
      <c r="F383" s="543"/>
      <c r="G383" s="543"/>
      <c r="H383" s="542"/>
      <c r="I383" s="542"/>
      <c r="J383" s="542"/>
      <c r="K383" s="542"/>
      <c r="L383" s="542"/>
      <c r="M383" s="542"/>
      <c r="N383" s="524"/>
      <c r="O383" s="524"/>
      <c r="P383" s="560"/>
      <c r="T383" s="529"/>
    </row>
    <row r="384" spans="4:20" s="502" customFormat="1" x14ac:dyDescent="0.2">
      <c r="D384" s="514"/>
      <c r="E384" s="542"/>
      <c r="F384" s="543"/>
      <c r="G384" s="543"/>
      <c r="H384" s="542"/>
      <c r="I384" s="542"/>
      <c r="J384" s="542"/>
      <c r="K384" s="542"/>
      <c r="L384" s="542"/>
      <c r="M384" s="542"/>
      <c r="N384" s="524"/>
      <c r="O384" s="524"/>
      <c r="P384" s="560"/>
      <c r="T384" s="529"/>
    </row>
    <row r="385" spans="4:20" s="502" customFormat="1" x14ac:dyDescent="0.2">
      <c r="D385" s="514"/>
      <c r="E385" s="542"/>
      <c r="F385" s="543"/>
      <c r="G385" s="543"/>
      <c r="H385" s="542"/>
      <c r="I385" s="542"/>
      <c r="J385" s="542"/>
      <c r="K385" s="542"/>
      <c r="L385" s="542"/>
      <c r="M385" s="542"/>
      <c r="N385" s="524"/>
      <c r="O385" s="524"/>
      <c r="P385" s="560"/>
      <c r="T385" s="529"/>
    </row>
    <row r="386" spans="4:20" s="502" customFormat="1" x14ac:dyDescent="0.2">
      <c r="D386" s="514"/>
      <c r="E386" s="542"/>
      <c r="F386" s="543"/>
      <c r="G386" s="543"/>
      <c r="H386" s="542"/>
      <c r="I386" s="542"/>
      <c r="J386" s="542"/>
      <c r="K386" s="542"/>
      <c r="L386" s="542"/>
      <c r="M386" s="542"/>
      <c r="N386" s="524"/>
      <c r="O386" s="524"/>
      <c r="P386" s="560"/>
      <c r="T386" s="529"/>
    </row>
    <row r="387" spans="4:20" s="502" customFormat="1" x14ac:dyDescent="0.2">
      <c r="D387" s="514"/>
      <c r="E387" s="542"/>
      <c r="F387" s="543"/>
      <c r="G387" s="543"/>
      <c r="H387" s="542"/>
      <c r="I387" s="542"/>
      <c r="J387" s="542"/>
      <c r="K387" s="542"/>
      <c r="L387" s="542"/>
      <c r="M387" s="542"/>
      <c r="N387" s="524"/>
      <c r="O387" s="524"/>
      <c r="P387" s="560"/>
      <c r="T387" s="529"/>
    </row>
    <row r="388" spans="4:20" s="502" customFormat="1" x14ac:dyDescent="0.2">
      <c r="D388" s="514"/>
      <c r="E388" s="542"/>
      <c r="F388" s="543"/>
      <c r="G388" s="543"/>
      <c r="H388" s="542"/>
      <c r="I388" s="542"/>
      <c r="J388" s="542"/>
      <c r="K388" s="542"/>
      <c r="L388" s="542"/>
      <c r="M388" s="542"/>
      <c r="N388" s="524"/>
      <c r="O388" s="524"/>
      <c r="P388" s="560"/>
      <c r="T388" s="529"/>
    </row>
    <row r="389" spans="4:20" s="502" customFormat="1" x14ac:dyDescent="0.2">
      <c r="D389" s="514"/>
      <c r="E389" s="542"/>
      <c r="F389" s="543"/>
      <c r="G389" s="543"/>
      <c r="H389" s="542"/>
      <c r="I389" s="542"/>
      <c r="J389" s="542"/>
      <c r="K389" s="542"/>
      <c r="L389" s="542"/>
      <c r="M389" s="542"/>
      <c r="N389" s="524"/>
      <c r="O389" s="524"/>
      <c r="P389" s="560"/>
      <c r="T389" s="529"/>
    </row>
    <row r="390" spans="4:20" s="502" customFormat="1" x14ac:dyDescent="0.2">
      <c r="D390" s="514"/>
      <c r="E390" s="542"/>
      <c r="F390" s="543"/>
      <c r="G390" s="543"/>
      <c r="H390" s="542"/>
      <c r="I390" s="542"/>
      <c r="J390" s="542"/>
      <c r="K390" s="542"/>
      <c r="L390" s="542"/>
      <c r="M390" s="542"/>
      <c r="N390" s="524"/>
      <c r="O390" s="524"/>
      <c r="P390" s="560"/>
      <c r="T390" s="529"/>
    </row>
    <row r="391" spans="4:20" s="502" customFormat="1" x14ac:dyDescent="0.2">
      <c r="D391" s="514"/>
      <c r="E391" s="542"/>
      <c r="F391" s="543"/>
      <c r="G391" s="543"/>
      <c r="H391" s="542"/>
      <c r="I391" s="542"/>
      <c r="J391" s="542"/>
      <c r="K391" s="542"/>
      <c r="L391" s="542"/>
      <c r="M391" s="542"/>
      <c r="N391" s="524"/>
      <c r="O391" s="524"/>
      <c r="P391" s="560"/>
      <c r="T391" s="529"/>
    </row>
    <row r="392" spans="4:20" s="502" customFormat="1" x14ac:dyDescent="0.2">
      <c r="D392" s="514"/>
      <c r="E392" s="542"/>
      <c r="F392" s="543"/>
      <c r="G392" s="543"/>
      <c r="H392" s="542"/>
      <c r="I392" s="542"/>
      <c r="J392" s="542"/>
      <c r="K392" s="542"/>
      <c r="L392" s="542"/>
      <c r="M392" s="542"/>
      <c r="N392" s="524"/>
      <c r="O392" s="524"/>
      <c r="P392" s="560"/>
      <c r="T392" s="529"/>
    </row>
    <row r="393" spans="4:20" s="502" customFormat="1" x14ac:dyDescent="0.2">
      <c r="D393" s="514"/>
      <c r="E393" s="542"/>
      <c r="F393" s="543"/>
      <c r="G393" s="543"/>
      <c r="H393" s="542"/>
      <c r="I393" s="542"/>
      <c r="J393" s="542"/>
      <c r="K393" s="542"/>
      <c r="L393" s="542"/>
      <c r="M393" s="542"/>
      <c r="N393" s="524"/>
      <c r="O393" s="524"/>
      <c r="P393" s="560"/>
      <c r="T393" s="529"/>
    </row>
    <row r="394" spans="4:20" s="502" customFormat="1" x14ac:dyDescent="0.2">
      <c r="D394" s="514"/>
      <c r="E394" s="542"/>
      <c r="F394" s="543"/>
      <c r="G394" s="543"/>
      <c r="H394" s="542"/>
      <c r="I394" s="542"/>
      <c r="J394" s="542"/>
      <c r="K394" s="542"/>
      <c r="L394" s="542"/>
      <c r="M394" s="542"/>
      <c r="N394" s="524"/>
      <c r="O394" s="524"/>
      <c r="P394" s="560"/>
      <c r="T394" s="529"/>
    </row>
    <row r="395" spans="4:20" s="502" customFormat="1" x14ac:dyDescent="0.2">
      <c r="D395" s="514"/>
      <c r="E395" s="542"/>
      <c r="F395" s="543"/>
      <c r="G395" s="543"/>
      <c r="H395" s="542"/>
      <c r="I395" s="542"/>
      <c r="J395" s="542"/>
      <c r="K395" s="542"/>
      <c r="L395" s="542"/>
      <c r="M395" s="542"/>
      <c r="N395" s="524"/>
      <c r="O395" s="524"/>
      <c r="P395" s="560"/>
      <c r="T395" s="529"/>
    </row>
    <row r="396" spans="4:20" s="502" customFormat="1" x14ac:dyDescent="0.2">
      <c r="D396" s="514"/>
      <c r="E396" s="542"/>
      <c r="F396" s="543"/>
      <c r="G396" s="543"/>
      <c r="H396" s="542"/>
      <c r="I396" s="542"/>
      <c r="J396" s="542"/>
      <c r="K396" s="542"/>
      <c r="L396" s="542"/>
      <c r="M396" s="542"/>
      <c r="N396" s="524"/>
      <c r="O396" s="524"/>
      <c r="P396" s="560"/>
      <c r="T396" s="529"/>
    </row>
    <row r="397" spans="4:20" s="502" customFormat="1" x14ac:dyDescent="0.2">
      <c r="D397" s="514"/>
      <c r="E397" s="542"/>
      <c r="F397" s="543"/>
      <c r="G397" s="543"/>
      <c r="H397" s="542"/>
      <c r="I397" s="542"/>
      <c r="J397" s="542"/>
      <c r="K397" s="542"/>
      <c r="L397" s="542"/>
      <c r="M397" s="542"/>
      <c r="N397" s="524"/>
      <c r="O397" s="524"/>
      <c r="P397" s="560"/>
      <c r="T397" s="529"/>
    </row>
    <row r="398" spans="4:20" s="502" customFormat="1" x14ac:dyDescent="0.2">
      <c r="D398" s="514"/>
      <c r="E398" s="542"/>
      <c r="F398" s="543"/>
      <c r="G398" s="543"/>
      <c r="H398" s="542"/>
      <c r="I398" s="542"/>
      <c r="J398" s="542"/>
      <c r="K398" s="542"/>
      <c r="L398" s="542"/>
      <c r="M398" s="542"/>
      <c r="N398" s="524"/>
      <c r="O398" s="524"/>
      <c r="P398" s="560"/>
      <c r="T398" s="529"/>
    </row>
    <row r="399" spans="4:20" s="502" customFormat="1" x14ac:dyDescent="0.2">
      <c r="D399" s="514"/>
      <c r="E399" s="542"/>
      <c r="F399" s="543"/>
      <c r="G399" s="543"/>
      <c r="H399" s="542"/>
      <c r="I399" s="542"/>
      <c r="J399" s="542"/>
      <c r="K399" s="542"/>
      <c r="L399" s="542"/>
      <c r="M399" s="542"/>
      <c r="N399" s="524"/>
      <c r="O399" s="524"/>
      <c r="P399" s="560"/>
      <c r="T399" s="529"/>
    </row>
    <row r="400" spans="4:20" s="502" customFormat="1" x14ac:dyDescent="0.2">
      <c r="D400" s="514"/>
      <c r="E400" s="542"/>
      <c r="F400" s="543"/>
      <c r="G400" s="543"/>
      <c r="H400" s="542"/>
      <c r="I400" s="542"/>
      <c r="J400" s="542"/>
      <c r="K400" s="542"/>
      <c r="L400" s="542"/>
      <c r="M400" s="542"/>
      <c r="N400" s="524"/>
      <c r="O400" s="524"/>
      <c r="P400" s="560"/>
      <c r="T400" s="529"/>
    </row>
    <row r="401" spans="4:20" s="502" customFormat="1" x14ac:dyDescent="0.2">
      <c r="D401" s="514"/>
      <c r="E401" s="542"/>
      <c r="F401" s="543"/>
      <c r="G401" s="543"/>
      <c r="H401" s="542"/>
      <c r="I401" s="542"/>
      <c r="J401" s="542"/>
      <c r="K401" s="542"/>
      <c r="L401" s="542"/>
      <c r="M401" s="542"/>
      <c r="N401" s="524"/>
      <c r="O401" s="524"/>
      <c r="P401" s="560"/>
      <c r="T401" s="529"/>
    </row>
    <row r="402" spans="4:20" s="502" customFormat="1" x14ac:dyDescent="0.2">
      <c r="D402" s="514"/>
      <c r="E402" s="542"/>
      <c r="F402" s="543"/>
      <c r="G402" s="543"/>
      <c r="H402" s="542"/>
      <c r="I402" s="542"/>
      <c r="J402" s="542"/>
      <c r="K402" s="542"/>
      <c r="L402" s="542"/>
      <c r="M402" s="542"/>
      <c r="N402" s="524"/>
      <c r="O402" s="524"/>
      <c r="P402" s="560"/>
      <c r="T402" s="529"/>
    </row>
    <row r="403" spans="4:20" s="502" customFormat="1" x14ac:dyDescent="0.2">
      <c r="D403" s="514"/>
      <c r="E403" s="542"/>
      <c r="F403" s="543"/>
      <c r="G403" s="543"/>
      <c r="H403" s="542"/>
      <c r="I403" s="542"/>
      <c r="J403" s="542"/>
      <c r="K403" s="542"/>
      <c r="L403" s="542"/>
      <c r="M403" s="542"/>
      <c r="N403" s="524"/>
      <c r="O403" s="524"/>
      <c r="P403" s="560"/>
      <c r="T403" s="529"/>
    </row>
    <row r="404" spans="4:20" s="502" customFormat="1" x14ac:dyDescent="0.2">
      <c r="D404" s="514"/>
      <c r="E404" s="542"/>
      <c r="F404" s="543"/>
      <c r="G404" s="543"/>
      <c r="H404" s="542"/>
      <c r="I404" s="542"/>
      <c r="J404" s="542"/>
      <c r="K404" s="542"/>
      <c r="L404" s="542"/>
      <c r="M404" s="542"/>
      <c r="N404" s="524"/>
      <c r="O404" s="524"/>
      <c r="P404" s="560"/>
      <c r="T404" s="529"/>
    </row>
    <row r="405" spans="4:20" s="502" customFormat="1" x14ac:dyDescent="0.2">
      <c r="D405" s="514"/>
      <c r="E405" s="542"/>
      <c r="F405" s="543"/>
      <c r="G405" s="543"/>
      <c r="H405" s="542"/>
      <c r="I405" s="542"/>
      <c r="J405" s="542"/>
      <c r="K405" s="542"/>
      <c r="L405" s="542"/>
      <c r="M405" s="542"/>
      <c r="N405" s="524"/>
      <c r="O405" s="524"/>
      <c r="P405" s="560"/>
      <c r="T405" s="529"/>
    </row>
    <row r="406" spans="4:20" s="502" customFormat="1" x14ac:dyDescent="0.2">
      <c r="D406" s="514"/>
      <c r="E406" s="542"/>
      <c r="F406" s="543"/>
      <c r="G406" s="543"/>
      <c r="H406" s="542"/>
      <c r="I406" s="542"/>
      <c r="J406" s="542"/>
      <c r="K406" s="542"/>
      <c r="L406" s="542"/>
      <c r="M406" s="542"/>
      <c r="N406" s="524"/>
      <c r="O406" s="524"/>
      <c r="P406" s="560"/>
      <c r="T406" s="529"/>
    </row>
    <row r="407" spans="4:20" s="502" customFormat="1" x14ac:dyDescent="0.2">
      <c r="D407" s="514"/>
      <c r="E407" s="542"/>
      <c r="F407" s="543"/>
      <c r="G407" s="543"/>
      <c r="H407" s="542"/>
      <c r="I407" s="542"/>
      <c r="J407" s="542"/>
      <c r="K407" s="542"/>
      <c r="L407" s="542"/>
      <c r="M407" s="542"/>
      <c r="N407" s="524"/>
      <c r="O407" s="524"/>
      <c r="P407" s="560"/>
      <c r="T407" s="529"/>
    </row>
    <row r="408" spans="4:20" s="502" customFormat="1" x14ac:dyDescent="0.2">
      <c r="D408" s="514"/>
      <c r="E408" s="542"/>
      <c r="F408" s="543"/>
      <c r="G408" s="543"/>
      <c r="H408" s="542"/>
      <c r="I408" s="542"/>
      <c r="J408" s="542"/>
      <c r="K408" s="542"/>
      <c r="L408" s="542"/>
      <c r="M408" s="542"/>
      <c r="N408" s="524"/>
      <c r="O408" s="524"/>
      <c r="P408" s="560"/>
      <c r="T408" s="529"/>
    </row>
    <row r="409" spans="4:20" s="502" customFormat="1" x14ac:dyDescent="0.2">
      <c r="D409" s="514"/>
      <c r="E409" s="542"/>
      <c r="F409" s="543"/>
      <c r="G409" s="543"/>
      <c r="H409" s="542"/>
      <c r="I409" s="542"/>
      <c r="J409" s="542"/>
      <c r="K409" s="542"/>
      <c r="L409" s="542"/>
      <c r="M409" s="542"/>
      <c r="N409" s="524"/>
      <c r="O409" s="524"/>
      <c r="P409" s="560"/>
      <c r="T409" s="529"/>
    </row>
    <row r="410" spans="4:20" s="502" customFormat="1" x14ac:dyDescent="0.2">
      <c r="D410" s="514"/>
      <c r="E410" s="542"/>
      <c r="F410" s="543"/>
      <c r="G410" s="543"/>
      <c r="H410" s="542"/>
      <c r="I410" s="542"/>
      <c r="J410" s="542"/>
      <c r="K410" s="542"/>
      <c r="L410" s="542"/>
      <c r="M410" s="542"/>
      <c r="N410" s="524"/>
      <c r="O410" s="524"/>
      <c r="P410" s="560"/>
      <c r="T410" s="529"/>
    </row>
    <row r="411" spans="4:20" s="502" customFormat="1" x14ac:dyDescent="0.2">
      <c r="D411" s="514"/>
      <c r="E411" s="542"/>
      <c r="F411" s="543"/>
      <c r="G411" s="543"/>
      <c r="H411" s="542"/>
      <c r="I411" s="542"/>
      <c r="J411" s="542"/>
      <c r="K411" s="542"/>
      <c r="L411" s="542"/>
      <c r="M411" s="542"/>
      <c r="N411" s="524"/>
      <c r="O411" s="524"/>
      <c r="P411" s="560"/>
      <c r="T411" s="529"/>
    </row>
    <row r="412" spans="4:20" s="502" customFormat="1" x14ac:dyDescent="0.2">
      <c r="D412" s="514"/>
      <c r="E412" s="542"/>
      <c r="F412" s="543"/>
      <c r="G412" s="543"/>
      <c r="H412" s="542"/>
      <c r="I412" s="542"/>
      <c r="J412" s="542"/>
      <c r="K412" s="542"/>
      <c r="L412" s="542"/>
      <c r="M412" s="542"/>
      <c r="N412" s="524"/>
      <c r="O412" s="524"/>
      <c r="P412" s="560"/>
      <c r="T412" s="529"/>
    </row>
    <row r="413" spans="4:20" s="502" customFormat="1" x14ac:dyDescent="0.2">
      <c r="D413" s="514"/>
      <c r="E413" s="542"/>
      <c r="F413" s="543"/>
      <c r="G413" s="543"/>
      <c r="H413" s="542"/>
      <c r="I413" s="542"/>
      <c r="J413" s="542"/>
      <c r="K413" s="542"/>
      <c r="L413" s="542"/>
      <c r="M413" s="542"/>
      <c r="N413" s="524"/>
      <c r="O413" s="524"/>
      <c r="P413" s="560"/>
      <c r="T413" s="529"/>
    </row>
    <row r="414" spans="4:20" s="502" customFormat="1" x14ac:dyDescent="0.2">
      <c r="D414" s="514"/>
      <c r="E414" s="542"/>
      <c r="F414" s="543"/>
      <c r="G414" s="543"/>
      <c r="H414" s="542"/>
      <c r="I414" s="542"/>
      <c r="J414" s="542"/>
      <c r="K414" s="542"/>
      <c r="L414" s="542"/>
      <c r="M414" s="542"/>
      <c r="N414" s="524"/>
      <c r="O414" s="524"/>
      <c r="P414" s="560"/>
      <c r="T414" s="529"/>
    </row>
    <row r="415" spans="4:20" s="502" customFormat="1" x14ac:dyDescent="0.2">
      <c r="D415" s="514"/>
      <c r="E415" s="542"/>
      <c r="F415" s="543"/>
      <c r="G415" s="543"/>
      <c r="H415" s="542"/>
      <c r="I415" s="542"/>
      <c r="J415" s="542"/>
      <c r="K415" s="542"/>
      <c r="L415" s="542"/>
      <c r="M415" s="542"/>
      <c r="N415" s="524"/>
      <c r="O415" s="524"/>
      <c r="P415" s="560"/>
      <c r="T415" s="529"/>
    </row>
    <row r="416" spans="4:20" s="502" customFormat="1" x14ac:dyDescent="0.2">
      <c r="D416" s="514"/>
      <c r="E416" s="542"/>
      <c r="F416" s="543"/>
      <c r="G416" s="543"/>
      <c r="H416" s="542"/>
      <c r="I416" s="542"/>
      <c r="J416" s="542"/>
      <c r="K416" s="542"/>
      <c r="L416" s="542"/>
      <c r="M416" s="542"/>
      <c r="N416" s="524"/>
      <c r="O416" s="524"/>
      <c r="P416" s="560"/>
      <c r="T416" s="529"/>
    </row>
    <row r="417" spans="4:20" s="502" customFormat="1" x14ac:dyDescent="0.2">
      <c r="D417" s="514"/>
      <c r="E417" s="542"/>
      <c r="F417" s="543"/>
      <c r="G417" s="543"/>
      <c r="H417" s="542"/>
      <c r="I417" s="542"/>
      <c r="J417" s="542"/>
      <c r="K417" s="542"/>
      <c r="L417" s="542"/>
      <c r="M417" s="542"/>
      <c r="N417" s="524"/>
      <c r="O417" s="524"/>
      <c r="P417" s="560"/>
      <c r="T417" s="529"/>
    </row>
    <row r="418" spans="4:20" s="502" customFormat="1" x14ac:dyDescent="0.2">
      <c r="D418" s="514"/>
      <c r="E418" s="542"/>
      <c r="F418" s="543"/>
      <c r="G418" s="543"/>
      <c r="H418" s="542"/>
      <c r="I418" s="542"/>
      <c r="J418" s="542"/>
      <c r="K418" s="542"/>
      <c r="L418" s="542"/>
      <c r="M418" s="542"/>
      <c r="N418" s="524"/>
      <c r="O418" s="524"/>
      <c r="P418" s="560"/>
      <c r="T418" s="529"/>
    </row>
    <row r="419" spans="4:20" s="502" customFormat="1" x14ac:dyDescent="0.2">
      <c r="D419" s="514"/>
      <c r="E419" s="542"/>
      <c r="F419" s="543"/>
      <c r="G419" s="543"/>
      <c r="H419" s="542"/>
      <c r="I419" s="542"/>
      <c r="J419" s="542"/>
      <c r="K419" s="542"/>
      <c r="L419" s="542"/>
      <c r="M419" s="542"/>
      <c r="N419" s="524"/>
      <c r="O419" s="524"/>
      <c r="P419" s="560"/>
      <c r="T419" s="529"/>
    </row>
    <row r="420" spans="4:20" s="502" customFormat="1" x14ac:dyDescent="0.2">
      <c r="D420" s="514"/>
      <c r="E420" s="542"/>
      <c r="F420" s="543"/>
      <c r="G420" s="543"/>
      <c r="H420" s="542"/>
      <c r="I420" s="542"/>
      <c r="J420" s="542"/>
      <c r="K420" s="542"/>
      <c r="L420" s="542"/>
      <c r="M420" s="542"/>
      <c r="N420" s="524"/>
      <c r="O420" s="524"/>
      <c r="P420" s="560"/>
      <c r="T420" s="529"/>
    </row>
    <row r="421" spans="4:20" s="502" customFormat="1" x14ac:dyDescent="0.2">
      <c r="D421" s="514"/>
      <c r="E421" s="542"/>
      <c r="F421" s="543"/>
      <c r="G421" s="543"/>
      <c r="H421" s="542"/>
      <c r="I421" s="542"/>
      <c r="J421" s="542"/>
      <c r="K421" s="542"/>
      <c r="L421" s="542"/>
      <c r="M421" s="542"/>
      <c r="N421" s="524"/>
      <c r="O421" s="524"/>
      <c r="P421" s="560"/>
      <c r="T421" s="529"/>
    </row>
    <row r="422" spans="4:20" s="502" customFormat="1" x14ac:dyDescent="0.2">
      <c r="D422" s="514"/>
      <c r="E422" s="542"/>
      <c r="F422" s="543"/>
      <c r="G422" s="543"/>
      <c r="H422" s="542"/>
      <c r="I422" s="542"/>
      <c r="J422" s="542"/>
      <c r="K422" s="542"/>
      <c r="L422" s="542"/>
      <c r="M422" s="542"/>
      <c r="N422" s="524"/>
      <c r="O422" s="524"/>
      <c r="P422" s="560"/>
      <c r="T422" s="529"/>
    </row>
    <row r="423" spans="4:20" s="502" customFormat="1" x14ac:dyDescent="0.2">
      <c r="D423" s="514"/>
      <c r="E423" s="542"/>
      <c r="F423" s="543"/>
      <c r="G423" s="543"/>
      <c r="H423" s="542"/>
      <c r="I423" s="542"/>
      <c r="J423" s="542"/>
      <c r="K423" s="542"/>
      <c r="L423" s="542"/>
      <c r="M423" s="542"/>
      <c r="N423" s="524"/>
      <c r="O423" s="524"/>
      <c r="P423" s="560"/>
      <c r="T423" s="529"/>
    </row>
    <row r="424" spans="4:20" s="502" customFormat="1" x14ac:dyDescent="0.2">
      <c r="D424" s="514"/>
      <c r="E424" s="542"/>
      <c r="F424" s="543"/>
      <c r="G424" s="543"/>
      <c r="H424" s="542"/>
      <c r="I424" s="542"/>
      <c r="J424" s="542"/>
      <c r="K424" s="542"/>
      <c r="L424" s="542"/>
      <c r="M424" s="542"/>
      <c r="N424" s="524"/>
      <c r="O424" s="524"/>
      <c r="P424" s="560"/>
      <c r="T424" s="529"/>
    </row>
    <row r="425" spans="4:20" s="502" customFormat="1" x14ac:dyDescent="0.2">
      <c r="D425" s="514"/>
      <c r="E425" s="542"/>
      <c r="F425" s="543"/>
      <c r="G425" s="543"/>
      <c r="H425" s="542"/>
      <c r="I425" s="542"/>
      <c r="J425" s="542"/>
      <c r="K425" s="542"/>
      <c r="L425" s="542"/>
      <c r="M425" s="542"/>
      <c r="N425" s="524"/>
      <c r="O425" s="524"/>
      <c r="P425" s="560"/>
      <c r="T425" s="529"/>
    </row>
    <row r="426" spans="4:20" s="502" customFormat="1" x14ac:dyDescent="0.2">
      <c r="D426" s="514"/>
      <c r="E426" s="542"/>
      <c r="F426" s="543"/>
      <c r="G426" s="543"/>
      <c r="H426" s="542"/>
      <c r="I426" s="542"/>
      <c r="J426" s="542"/>
      <c r="K426" s="542"/>
      <c r="L426" s="542"/>
      <c r="M426" s="542"/>
      <c r="N426" s="524"/>
      <c r="O426" s="524"/>
      <c r="P426" s="560"/>
      <c r="T426" s="529"/>
    </row>
    <row r="427" spans="4:20" s="502" customFormat="1" x14ac:dyDescent="0.2">
      <c r="D427" s="514"/>
      <c r="E427" s="542"/>
      <c r="F427" s="543"/>
      <c r="G427" s="543"/>
      <c r="H427" s="542"/>
      <c r="I427" s="542"/>
      <c r="J427" s="542"/>
      <c r="K427" s="542"/>
      <c r="L427" s="542"/>
      <c r="M427" s="542"/>
      <c r="N427" s="524"/>
      <c r="O427" s="524"/>
      <c r="P427" s="560"/>
      <c r="T427" s="529"/>
    </row>
    <row r="428" spans="4:20" s="502" customFormat="1" x14ac:dyDescent="0.2">
      <c r="D428" s="514"/>
      <c r="E428" s="542"/>
      <c r="F428" s="543"/>
      <c r="G428" s="543"/>
      <c r="H428" s="542"/>
      <c r="I428" s="542"/>
      <c r="J428" s="542"/>
      <c r="K428" s="542"/>
      <c r="L428" s="542"/>
      <c r="M428" s="542"/>
      <c r="N428" s="524"/>
      <c r="O428" s="524"/>
      <c r="P428" s="560"/>
      <c r="T428" s="529"/>
    </row>
    <row r="429" spans="4:20" s="502" customFormat="1" x14ac:dyDescent="0.2">
      <c r="D429" s="514"/>
      <c r="E429" s="542"/>
      <c r="F429" s="543"/>
      <c r="G429" s="543"/>
      <c r="H429" s="542"/>
      <c r="I429" s="542"/>
      <c r="J429" s="542"/>
      <c r="K429" s="542"/>
      <c r="L429" s="542"/>
      <c r="M429" s="542"/>
      <c r="N429" s="524"/>
      <c r="O429" s="524"/>
      <c r="P429" s="560"/>
      <c r="T429" s="529"/>
    </row>
    <row r="430" spans="4:20" s="502" customFormat="1" x14ac:dyDescent="0.2">
      <c r="D430" s="514"/>
      <c r="E430" s="542"/>
      <c r="F430" s="543"/>
      <c r="G430" s="543"/>
      <c r="H430" s="542"/>
      <c r="I430" s="542"/>
      <c r="J430" s="542"/>
      <c r="K430" s="542"/>
      <c r="L430" s="542"/>
      <c r="M430" s="542"/>
      <c r="N430" s="524"/>
      <c r="O430" s="524"/>
      <c r="P430" s="560"/>
      <c r="T430" s="529"/>
    </row>
    <row r="431" spans="4:20" s="502" customFormat="1" x14ac:dyDescent="0.2">
      <c r="D431" s="514"/>
      <c r="E431" s="542"/>
      <c r="F431" s="543"/>
      <c r="G431" s="543"/>
      <c r="H431" s="542"/>
      <c r="I431" s="542"/>
      <c r="J431" s="542"/>
      <c r="K431" s="542"/>
      <c r="L431" s="542"/>
      <c r="M431" s="542"/>
      <c r="N431" s="524"/>
      <c r="O431" s="524"/>
      <c r="P431" s="560"/>
      <c r="T431" s="529"/>
    </row>
    <row r="432" spans="4:20" s="502" customFormat="1" x14ac:dyDescent="0.2">
      <c r="D432" s="514"/>
      <c r="E432" s="542"/>
      <c r="F432" s="543"/>
      <c r="G432" s="543"/>
      <c r="H432" s="542"/>
      <c r="I432" s="542"/>
      <c r="J432" s="542"/>
      <c r="K432" s="542"/>
      <c r="L432" s="542"/>
      <c r="M432" s="542"/>
      <c r="N432" s="524"/>
      <c r="O432" s="524"/>
      <c r="P432" s="560"/>
      <c r="T432" s="529"/>
    </row>
    <row r="433" spans="4:20" s="502" customFormat="1" x14ac:dyDescent="0.2">
      <c r="D433" s="514"/>
      <c r="E433" s="542"/>
      <c r="F433" s="543"/>
      <c r="G433" s="543"/>
      <c r="H433" s="542"/>
      <c r="I433" s="542"/>
      <c r="J433" s="542"/>
      <c r="K433" s="542"/>
      <c r="L433" s="542"/>
      <c r="M433" s="542"/>
      <c r="N433" s="524"/>
      <c r="O433" s="524"/>
      <c r="P433" s="560"/>
      <c r="T433" s="529"/>
    </row>
    <row r="434" spans="4:20" s="502" customFormat="1" x14ac:dyDescent="0.2">
      <c r="D434" s="514"/>
      <c r="E434" s="542"/>
      <c r="F434" s="543"/>
      <c r="G434" s="543"/>
      <c r="H434" s="542"/>
      <c r="I434" s="542"/>
      <c r="J434" s="542"/>
      <c r="K434" s="542"/>
      <c r="L434" s="542"/>
      <c r="M434" s="542"/>
      <c r="N434" s="524"/>
      <c r="O434" s="524"/>
      <c r="P434" s="560"/>
      <c r="T434" s="529"/>
    </row>
    <row r="435" spans="4:20" s="502" customFormat="1" x14ac:dyDescent="0.2">
      <c r="D435" s="514"/>
      <c r="E435" s="542"/>
      <c r="F435" s="543"/>
      <c r="G435" s="543"/>
      <c r="H435" s="542"/>
      <c r="I435" s="542"/>
      <c r="J435" s="542"/>
      <c r="K435" s="542"/>
      <c r="L435" s="542"/>
      <c r="M435" s="542"/>
      <c r="N435" s="524"/>
      <c r="O435" s="524"/>
      <c r="P435" s="560"/>
      <c r="T435" s="529"/>
    </row>
    <row r="436" spans="4:20" s="502" customFormat="1" x14ac:dyDescent="0.2">
      <c r="D436" s="514"/>
      <c r="E436" s="542"/>
      <c r="F436" s="543"/>
      <c r="G436" s="543"/>
      <c r="H436" s="542"/>
      <c r="I436" s="542"/>
      <c r="J436" s="542"/>
      <c r="K436" s="542"/>
      <c r="L436" s="542"/>
      <c r="M436" s="542"/>
      <c r="N436" s="524"/>
      <c r="O436" s="524"/>
      <c r="P436" s="560"/>
      <c r="T436" s="529"/>
    </row>
    <row r="437" spans="4:20" s="502" customFormat="1" x14ac:dyDescent="0.2">
      <c r="D437" s="514"/>
      <c r="E437" s="542"/>
      <c r="F437" s="543"/>
      <c r="G437" s="543"/>
      <c r="H437" s="542"/>
      <c r="I437" s="542"/>
      <c r="J437" s="542"/>
      <c r="K437" s="542"/>
      <c r="L437" s="542"/>
      <c r="M437" s="542"/>
      <c r="N437" s="524"/>
      <c r="O437" s="524"/>
      <c r="P437" s="560"/>
      <c r="T437" s="529"/>
    </row>
    <row r="438" spans="4:20" s="502" customFormat="1" x14ac:dyDescent="0.2">
      <c r="D438" s="514"/>
      <c r="E438" s="542"/>
      <c r="F438" s="543"/>
      <c r="G438" s="543"/>
      <c r="H438" s="542"/>
      <c r="I438" s="542"/>
      <c r="J438" s="542"/>
      <c r="K438" s="542"/>
      <c r="L438" s="542"/>
      <c r="M438" s="542"/>
      <c r="N438" s="524"/>
      <c r="O438" s="524"/>
      <c r="P438" s="560"/>
      <c r="T438" s="529"/>
    </row>
    <row r="439" spans="4:20" s="502" customFormat="1" x14ac:dyDescent="0.2">
      <c r="D439" s="514"/>
      <c r="E439" s="542"/>
      <c r="F439" s="543"/>
      <c r="G439" s="543"/>
      <c r="H439" s="542"/>
      <c r="I439" s="542"/>
      <c r="J439" s="542"/>
      <c r="K439" s="542"/>
      <c r="L439" s="542"/>
      <c r="M439" s="542"/>
      <c r="N439" s="524"/>
      <c r="O439" s="524"/>
      <c r="P439" s="560"/>
      <c r="T439" s="529"/>
    </row>
    <row r="440" spans="4:20" s="502" customFormat="1" x14ac:dyDescent="0.2">
      <c r="D440" s="514"/>
      <c r="E440" s="542"/>
      <c r="F440" s="543"/>
      <c r="G440" s="543"/>
      <c r="H440" s="542"/>
      <c r="I440" s="542"/>
      <c r="J440" s="542"/>
      <c r="K440" s="542"/>
      <c r="L440" s="542"/>
      <c r="M440" s="542"/>
      <c r="N440" s="524"/>
      <c r="O440" s="524"/>
      <c r="P440" s="560"/>
      <c r="T440" s="529"/>
    </row>
    <row r="441" spans="4:20" s="502" customFormat="1" x14ac:dyDescent="0.2">
      <c r="D441" s="514"/>
      <c r="E441" s="542"/>
      <c r="F441" s="543"/>
      <c r="G441" s="543"/>
      <c r="H441" s="542"/>
      <c r="I441" s="542"/>
      <c r="J441" s="542"/>
      <c r="K441" s="542"/>
      <c r="L441" s="542"/>
      <c r="M441" s="542"/>
      <c r="N441" s="524"/>
      <c r="O441" s="524"/>
      <c r="P441" s="560"/>
      <c r="T441" s="529"/>
    </row>
    <row r="442" spans="4:20" s="502" customFormat="1" x14ac:dyDescent="0.2">
      <c r="D442" s="514"/>
      <c r="E442" s="542"/>
      <c r="F442" s="543"/>
      <c r="G442" s="543"/>
      <c r="H442" s="542"/>
      <c r="I442" s="542"/>
      <c r="J442" s="542"/>
      <c r="K442" s="542"/>
      <c r="L442" s="542"/>
      <c r="M442" s="542"/>
      <c r="N442" s="524"/>
      <c r="O442" s="524"/>
      <c r="P442" s="560"/>
      <c r="T442" s="529"/>
    </row>
    <row r="443" spans="4:20" s="502" customFormat="1" x14ac:dyDescent="0.2">
      <c r="D443" s="514"/>
      <c r="E443" s="542"/>
      <c r="F443" s="543"/>
      <c r="G443" s="543"/>
      <c r="H443" s="542"/>
      <c r="I443" s="542"/>
      <c r="J443" s="542"/>
      <c r="K443" s="542"/>
      <c r="L443" s="542"/>
      <c r="M443" s="542"/>
      <c r="N443" s="524"/>
      <c r="O443" s="524"/>
      <c r="P443" s="560"/>
      <c r="T443" s="529"/>
    </row>
    <row r="444" spans="4:20" s="502" customFormat="1" x14ac:dyDescent="0.2">
      <c r="D444" s="514"/>
      <c r="E444" s="542"/>
      <c r="F444" s="543"/>
      <c r="G444" s="543"/>
      <c r="H444" s="542"/>
      <c r="I444" s="542"/>
      <c r="J444" s="542"/>
      <c r="K444" s="542"/>
      <c r="L444" s="542"/>
      <c r="M444" s="542"/>
      <c r="N444" s="524"/>
      <c r="O444" s="524"/>
      <c r="P444" s="560"/>
      <c r="T444" s="529"/>
    </row>
    <row r="445" spans="4:20" s="502" customFormat="1" x14ac:dyDescent="0.2">
      <c r="D445" s="514"/>
      <c r="E445" s="542"/>
      <c r="F445" s="543"/>
      <c r="G445" s="543"/>
      <c r="H445" s="542"/>
      <c r="I445" s="542"/>
      <c r="J445" s="542"/>
      <c r="K445" s="542"/>
      <c r="L445" s="542"/>
      <c r="M445" s="542"/>
      <c r="N445" s="524"/>
      <c r="O445" s="524"/>
      <c r="P445" s="560"/>
      <c r="T445" s="529"/>
    </row>
    <row r="446" spans="4:20" s="502" customFormat="1" x14ac:dyDescent="0.2">
      <c r="D446" s="514"/>
      <c r="E446" s="542"/>
      <c r="F446" s="543"/>
      <c r="G446" s="543"/>
      <c r="H446" s="542"/>
      <c r="I446" s="542"/>
      <c r="J446" s="542"/>
      <c r="K446" s="542"/>
      <c r="L446" s="542"/>
      <c r="M446" s="542"/>
      <c r="N446" s="524"/>
      <c r="O446" s="524"/>
      <c r="P446" s="560"/>
      <c r="T446" s="529"/>
    </row>
    <row r="447" spans="4:20" s="502" customFormat="1" x14ac:dyDescent="0.2">
      <c r="D447" s="514"/>
      <c r="E447" s="542"/>
      <c r="F447" s="543"/>
      <c r="G447" s="543"/>
      <c r="H447" s="542"/>
      <c r="I447" s="542"/>
      <c r="J447" s="542"/>
      <c r="K447" s="542"/>
      <c r="L447" s="542"/>
      <c r="M447" s="542"/>
      <c r="N447" s="524"/>
      <c r="O447" s="524"/>
      <c r="P447" s="560"/>
      <c r="T447" s="529"/>
    </row>
    <row r="448" spans="4:20" s="502" customFormat="1" x14ac:dyDescent="0.2">
      <c r="D448" s="514"/>
      <c r="E448" s="542"/>
      <c r="F448" s="543"/>
      <c r="G448" s="543"/>
      <c r="H448" s="542"/>
      <c r="I448" s="542"/>
      <c r="J448" s="542"/>
      <c r="K448" s="542"/>
      <c r="L448" s="542"/>
      <c r="M448" s="542"/>
      <c r="N448" s="524"/>
      <c r="O448" s="524"/>
      <c r="P448" s="560"/>
      <c r="T448" s="529"/>
    </row>
    <row r="449" spans="4:20" s="502" customFormat="1" x14ac:dyDescent="0.2">
      <c r="D449" s="514"/>
      <c r="E449" s="542"/>
      <c r="F449" s="543"/>
      <c r="G449" s="543"/>
      <c r="H449" s="542"/>
      <c r="I449" s="542"/>
      <c r="J449" s="542"/>
      <c r="K449" s="542"/>
      <c r="L449" s="542"/>
      <c r="M449" s="542"/>
      <c r="N449" s="524"/>
      <c r="O449" s="524"/>
      <c r="P449" s="560"/>
      <c r="T449" s="529"/>
    </row>
    <row r="450" spans="4:20" s="502" customFormat="1" x14ac:dyDescent="0.2">
      <c r="D450" s="514"/>
      <c r="E450" s="542"/>
      <c r="F450" s="543"/>
      <c r="G450" s="543"/>
      <c r="H450" s="542"/>
      <c r="I450" s="542"/>
      <c r="J450" s="542"/>
      <c r="K450" s="542"/>
      <c r="L450" s="542"/>
      <c r="M450" s="542"/>
      <c r="N450" s="524"/>
      <c r="O450" s="524"/>
      <c r="P450" s="560"/>
      <c r="T450" s="529"/>
    </row>
    <row r="451" spans="4:20" s="502" customFormat="1" x14ac:dyDescent="0.2">
      <c r="D451" s="514"/>
      <c r="E451" s="542"/>
      <c r="F451" s="543"/>
      <c r="G451" s="543"/>
      <c r="H451" s="542"/>
      <c r="I451" s="542"/>
      <c r="J451" s="542"/>
      <c r="K451" s="542"/>
      <c r="L451" s="542"/>
      <c r="M451" s="542"/>
      <c r="N451" s="524"/>
      <c r="O451" s="524"/>
      <c r="P451" s="560"/>
      <c r="T451" s="529"/>
    </row>
    <row r="452" spans="4:20" s="502" customFormat="1" x14ac:dyDescent="0.2">
      <c r="D452" s="514"/>
      <c r="E452" s="542"/>
      <c r="F452" s="543"/>
      <c r="G452" s="543"/>
      <c r="H452" s="542"/>
      <c r="I452" s="542"/>
      <c r="J452" s="542"/>
      <c r="K452" s="542"/>
      <c r="L452" s="542"/>
      <c r="M452" s="542"/>
      <c r="N452" s="524"/>
      <c r="O452" s="524"/>
      <c r="P452" s="560"/>
      <c r="T452" s="529"/>
    </row>
    <row r="453" spans="4:20" s="502" customFormat="1" x14ac:dyDescent="0.2">
      <c r="D453" s="514"/>
      <c r="E453" s="542"/>
      <c r="F453" s="543"/>
      <c r="G453" s="543"/>
      <c r="H453" s="542"/>
      <c r="I453" s="542"/>
      <c r="J453" s="542"/>
      <c r="K453" s="542"/>
      <c r="L453" s="542"/>
      <c r="M453" s="542"/>
      <c r="N453" s="524"/>
      <c r="O453" s="524"/>
      <c r="P453" s="560"/>
      <c r="T453" s="529"/>
    </row>
    <row r="454" spans="4:20" s="502" customFormat="1" x14ac:dyDescent="0.2">
      <c r="D454" s="514"/>
      <c r="E454" s="542"/>
      <c r="F454" s="543"/>
      <c r="G454" s="543"/>
      <c r="H454" s="542"/>
      <c r="I454" s="542"/>
      <c r="J454" s="542"/>
      <c r="K454" s="542"/>
      <c r="L454" s="542"/>
      <c r="M454" s="542"/>
      <c r="N454" s="524"/>
      <c r="O454" s="524"/>
      <c r="P454" s="560"/>
      <c r="T454" s="529"/>
    </row>
    <row r="455" spans="4:20" s="502" customFormat="1" x14ac:dyDescent="0.2">
      <c r="D455" s="514"/>
      <c r="E455" s="542"/>
      <c r="F455" s="543"/>
      <c r="G455" s="543"/>
      <c r="H455" s="542"/>
      <c r="I455" s="542"/>
      <c r="J455" s="542"/>
      <c r="K455" s="542"/>
      <c r="L455" s="542"/>
      <c r="M455" s="542"/>
      <c r="N455" s="524"/>
      <c r="O455" s="524"/>
      <c r="P455" s="560"/>
      <c r="T455" s="529"/>
    </row>
    <row r="456" spans="4:20" s="502" customFormat="1" x14ac:dyDescent="0.2">
      <c r="D456" s="514"/>
      <c r="E456" s="542"/>
      <c r="F456" s="543"/>
      <c r="G456" s="543"/>
      <c r="H456" s="542"/>
      <c r="I456" s="542"/>
      <c r="J456" s="542"/>
      <c r="K456" s="542"/>
      <c r="L456" s="542"/>
      <c r="M456" s="542"/>
      <c r="N456" s="524"/>
      <c r="O456" s="524"/>
      <c r="P456" s="560"/>
      <c r="T456" s="529"/>
    </row>
    <row r="457" spans="4:20" s="502" customFormat="1" x14ac:dyDescent="0.2">
      <c r="D457" s="514"/>
      <c r="E457" s="542"/>
      <c r="F457" s="543"/>
      <c r="G457" s="543"/>
      <c r="H457" s="542"/>
      <c r="I457" s="542"/>
      <c r="J457" s="542"/>
      <c r="K457" s="542"/>
      <c r="L457" s="542"/>
      <c r="M457" s="542"/>
      <c r="N457" s="524"/>
      <c r="O457" s="524"/>
      <c r="P457" s="560"/>
      <c r="T457" s="529"/>
    </row>
    <row r="458" spans="4:20" s="502" customFormat="1" x14ac:dyDescent="0.2">
      <c r="D458" s="514"/>
      <c r="E458" s="542"/>
      <c r="F458" s="543"/>
      <c r="G458" s="543"/>
      <c r="H458" s="542"/>
      <c r="I458" s="542"/>
      <c r="J458" s="542"/>
      <c r="K458" s="542"/>
      <c r="L458" s="542"/>
      <c r="M458" s="542"/>
      <c r="N458" s="524"/>
      <c r="O458" s="524"/>
      <c r="P458" s="560"/>
      <c r="T458" s="529"/>
    </row>
    <row r="459" spans="4:20" s="502" customFormat="1" x14ac:dyDescent="0.2">
      <c r="D459" s="514"/>
      <c r="E459" s="542"/>
      <c r="F459" s="543"/>
      <c r="G459" s="543"/>
      <c r="H459" s="542"/>
      <c r="I459" s="542"/>
      <c r="J459" s="542"/>
      <c r="K459" s="542"/>
      <c r="L459" s="542"/>
      <c r="M459" s="542"/>
      <c r="N459" s="524"/>
      <c r="O459" s="524"/>
      <c r="P459" s="560"/>
      <c r="T459" s="529"/>
    </row>
    <row r="460" spans="4:20" s="502" customFormat="1" x14ac:dyDescent="0.2">
      <c r="D460" s="514"/>
      <c r="E460" s="542"/>
      <c r="F460" s="543"/>
      <c r="G460" s="543"/>
      <c r="H460" s="542"/>
      <c r="I460" s="542"/>
      <c r="J460" s="542"/>
      <c r="K460" s="542"/>
      <c r="L460" s="542"/>
      <c r="M460" s="542"/>
      <c r="N460" s="524"/>
      <c r="O460" s="524"/>
      <c r="P460" s="560"/>
      <c r="T460" s="529"/>
    </row>
    <row r="461" spans="4:20" s="502" customFormat="1" x14ac:dyDescent="0.2">
      <c r="D461" s="514"/>
      <c r="E461" s="542"/>
      <c r="F461" s="543"/>
      <c r="G461" s="543"/>
      <c r="H461" s="542"/>
      <c r="I461" s="542"/>
      <c r="J461" s="542"/>
      <c r="K461" s="542"/>
      <c r="L461" s="542"/>
      <c r="M461" s="542"/>
      <c r="N461" s="524"/>
      <c r="O461" s="524"/>
      <c r="P461" s="560"/>
      <c r="T461" s="529"/>
    </row>
    <row r="462" spans="4:20" s="502" customFormat="1" x14ac:dyDescent="0.2">
      <c r="D462" s="514"/>
      <c r="E462" s="542"/>
      <c r="F462" s="543"/>
      <c r="G462" s="543"/>
      <c r="H462" s="542"/>
      <c r="I462" s="542"/>
      <c r="J462" s="542"/>
      <c r="K462" s="542"/>
      <c r="L462" s="542"/>
      <c r="M462" s="542"/>
      <c r="N462" s="524"/>
      <c r="O462" s="524"/>
      <c r="P462" s="560"/>
      <c r="T462" s="529"/>
    </row>
    <row r="463" spans="4:20" s="502" customFormat="1" x14ac:dyDescent="0.2">
      <c r="D463" s="514"/>
      <c r="E463" s="542"/>
      <c r="F463" s="543"/>
      <c r="G463" s="543"/>
      <c r="H463" s="542"/>
      <c r="I463" s="542"/>
      <c r="J463" s="542"/>
      <c r="K463" s="542"/>
      <c r="L463" s="542"/>
      <c r="M463" s="542"/>
      <c r="N463" s="524"/>
      <c r="O463" s="524"/>
      <c r="P463" s="560"/>
      <c r="T463" s="529"/>
    </row>
    <row r="464" spans="4:20" s="502" customFormat="1" x14ac:dyDescent="0.2">
      <c r="D464" s="514"/>
      <c r="E464" s="542"/>
      <c r="F464" s="543"/>
      <c r="G464" s="543"/>
      <c r="H464" s="542"/>
      <c r="I464" s="542"/>
      <c r="J464" s="542"/>
      <c r="K464" s="542"/>
      <c r="L464" s="542"/>
      <c r="M464" s="542"/>
      <c r="N464" s="524"/>
      <c r="O464" s="524"/>
      <c r="P464" s="560"/>
      <c r="T464" s="529"/>
    </row>
    <row r="465" spans="4:20" s="502" customFormat="1" x14ac:dyDescent="0.2">
      <c r="D465" s="514"/>
      <c r="E465" s="542"/>
      <c r="F465" s="543"/>
      <c r="G465" s="543"/>
      <c r="H465" s="542"/>
      <c r="I465" s="542"/>
      <c r="J465" s="542"/>
      <c r="K465" s="542"/>
      <c r="L465" s="542"/>
      <c r="M465" s="542"/>
      <c r="N465" s="524"/>
      <c r="O465" s="524"/>
      <c r="P465" s="560"/>
      <c r="T465" s="529"/>
    </row>
    <row r="466" spans="4:20" s="502" customFormat="1" x14ac:dyDescent="0.2">
      <c r="D466" s="514"/>
      <c r="E466" s="542"/>
      <c r="F466" s="543"/>
      <c r="G466" s="543"/>
      <c r="H466" s="542"/>
      <c r="I466" s="542"/>
      <c r="J466" s="542"/>
      <c r="K466" s="542"/>
      <c r="L466" s="542"/>
      <c r="M466" s="542"/>
      <c r="N466" s="524"/>
      <c r="O466" s="524"/>
      <c r="P466" s="560"/>
      <c r="T466" s="529"/>
    </row>
    <row r="467" spans="4:20" s="502" customFormat="1" x14ac:dyDescent="0.2">
      <c r="D467" s="514"/>
      <c r="E467" s="542"/>
      <c r="F467" s="543"/>
      <c r="G467" s="543"/>
      <c r="H467" s="542"/>
      <c r="I467" s="542"/>
      <c r="J467" s="542"/>
      <c r="K467" s="542"/>
      <c r="L467" s="542"/>
      <c r="M467" s="542"/>
      <c r="N467" s="524"/>
      <c r="O467" s="524"/>
      <c r="P467" s="560"/>
      <c r="T467" s="529"/>
    </row>
    <row r="468" spans="4:20" s="502" customFormat="1" x14ac:dyDescent="0.2">
      <c r="D468" s="514"/>
      <c r="E468" s="542"/>
      <c r="F468" s="543"/>
      <c r="G468" s="543"/>
      <c r="H468" s="542"/>
      <c r="I468" s="542"/>
      <c r="J468" s="542"/>
      <c r="K468" s="542"/>
      <c r="L468" s="542"/>
      <c r="M468" s="542"/>
      <c r="N468" s="524"/>
      <c r="O468" s="524"/>
      <c r="P468" s="560"/>
      <c r="T468" s="529"/>
    </row>
    <row r="469" spans="4:20" s="502" customFormat="1" x14ac:dyDescent="0.2">
      <c r="D469" s="514"/>
      <c r="E469" s="542"/>
      <c r="F469" s="543"/>
      <c r="G469" s="543"/>
      <c r="H469" s="542"/>
      <c r="I469" s="542"/>
      <c r="J469" s="542"/>
      <c r="K469" s="542"/>
      <c r="L469" s="542"/>
      <c r="M469" s="542"/>
      <c r="N469" s="524"/>
      <c r="O469" s="524"/>
      <c r="P469" s="560"/>
      <c r="T469" s="529"/>
    </row>
    <row r="470" spans="4:20" s="502" customFormat="1" x14ac:dyDescent="0.2">
      <c r="D470" s="514"/>
      <c r="E470" s="542"/>
      <c r="F470" s="543"/>
      <c r="G470" s="543"/>
      <c r="H470" s="542"/>
      <c r="I470" s="542"/>
      <c r="J470" s="542"/>
      <c r="K470" s="542"/>
      <c r="L470" s="542"/>
      <c r="M470" s="542"/>
      <c r="N470" s="524"/>
      <c r="O470" s="524"/>
      <c r="P470" s="560"/>
      <c r="T470" s="529"/>
    </row>
    <row r="471" spans="4:20" s="502" customFormat="1" x14ac:dyDescent="0.2">
      <c r="D471" s="514"/>
      <c r="E471" s="542"/>
      <c r="F471" s="543"/>
      <c r="G471" s="543"/>
      <c r="H471" s="542"/>
      <c r="I471" s="542"/>
      <c r="J471" s="542"/>
      <c r="K471" s="542"/>
      <c r="L471" s="542"/>
      <c r="M471" s="542"/>
      <c r="N471" s="524"/>
      <c r="O471" s="524"/>
      <c r="P471" s="560"/>
      <c r="T471" s="529"/>
    </row>
    <row r="472" spans="4:20" s="502" customFormat="1" x14ac:dyDescent="0.2">
      <c r="D472" s="514"/>
      <c r="E472" s="542"/>
      <c r="F472" s="543"/>
      <c r="G472" s="543"/>
      <c r="H472" s="542"/>
      <c r="I472" s="542"/>
      <c r="J472" s="542"/>
      <c r="K472" s="542"/>
      <c r="L472" s="542"/>
      <c r="M472" s="542"/>
      <c r="N472" s="524"/>
      <c r="O472" s="524"/>
      <c r="P472" s="560"/>
      <c r="T472" s="529"/>
    </row>
    <row r="473" spans="4:20" s="502" customFormat="1" x14ac:dyDescent="0.2">
      <c r="D473" s="514"/>
      <c r="E473" s="542"/>
      <c r="F473" s="543"/>
      <c r="G473" s="543"/>
      <c r="H473" s="542"/>
      <c r="I473" s="542"/>
      <c r="J473" s="542"/>
      <c r="K473" s="542"/>
      <c r="L473" s="542"/>
      <c r="M473" s="542"/>
      <c r="N473" s="524"/>
      <c r="O473" s="524"/>
      <c r="P473" s="560"/>
      <c r="T473" s="529"/>
    </row>
    <row r="474" spans="4:20" s="502" customFormat="1" x14ac:dyDescent="0.2">
      <c r="D474" s="514"/>
      <c r="E474" s="542"/>
      <c r="F474" s="543"/>
      <c r="G474" s="543"/>
      <c r="H474" s="542"/>
      <c r="I474" s="542"/>
      <c r="J474" s="542"/>
      <c r="K474" s="542"/>
      <c r="L474" s="542"/>
      <c r="M474" s="542"/>
      <c r="N474" s="524"/>
      <c r="O474" s="524"/>
      <c r="P474" s="560"/>
      <c r="T474" s="529"/>
    </row>
    <row r="475" spans="4:20" s="502" customFormat="1" x14ac:dyDescent="0.2">
      <c r="D475" s="514"/>
      <c r="E475" s="542"/>
      <c r="F475" s="543"/>
      <c r="G475" s="543"/>
      <c r="H475" s="542"/>
      <c r="I475" s="542"/>
      <c r="J475" s="542"/>
      <c r="K475" s="542"/>
      <c r="L475" s="542"/>
      <c r="M475" s="542"/>
      <c r="N475" s="524"/>
      <c r="O475" s="524"/>
      <c r="P475" s="560"/>
      <c r="T475" s="529"/>
    </row>
    <row r="476" spans="4:20" s="502" customFormat="1" x14ac:dyDescent="0.2">
      <c r="D476" s="514"/>
      <c r="E476" s="542"/>
      <c r="F476" s="543"/>
      <c r="G476" s="543"/>
      <c r="H476" s="542"/>
      <c r="I476" s="542"/>
      <c r="J476" s="542"/>
      <c r="K476" s="542"/>
      <c r="L476" s="542"/>
      <c r="M476" s="542"/>
      <c r="N476" s="524"/>
      <c r="O476" s="524"/>
      <c r="P476" s="560"/>
      <c r="T476" s="529"/>
    </row>
    <row r="477" spans="4:20" s="502" customFormat="1" x14ac:dyDescent="0.2">
      <c r="D477" s="514"/>
      <c r="E477" s="542"/>
      <c r="F477" s="543"/>
      <c r="G477" s="543"/>
      <c r="H477" s="542"/>
      <c r="I477" s="542"/>
      <c r="J477" s="542"/>
      <c r="K477" s="542"/>
      <c r="L477" s="542"/>
      <c r="M477" s="542"/>
      <c r="N477" s="524"/>
      <c r="O477" s="524"/>
      <c r="P477" s="560"/>
      <c r="T477" s="529"/>
    </row>
    <row r="478" spans="4:20" s="502" customFormat="1" x14ac:dyDescent="0.2">
      <c r="D478" s="514"/>
      <c r="E478" s="542"/>
      <c r="F478" s="543"/>
      <c r="G478" s="543"/>
      <c r="H478" s="542"/>
      <c r="I478" s="542"/>
      <c r="J478" s="542"/>
      <c r="K478" s="542"/>
      <c r="L478" s="542"/>
      <c r="M478" s="542"/>
      <c r="N478" s="524"/>
      <c r="O478" s="524"/>
      <c r="P478" s="560"/>
      <c r="T478" s="529"/>
    </row>
    <row r="479" spans="4:20" s="502" customFormat="1" x14ac:dyDescent="0.2">
      <c r="D479" s="514"/>
      <c r="E479" s="542"/>
      <c r="F479" s="543"/>
      <c r="G479" s="543"/>
      <c r="H479" s="542"/>
      <c r="I479" s="542"/>
      <c r="J479" s="542"/>
      <c r="K479" s="542"/>
      <c r="L479" s="542"/>
      <c r="M479" s="542"/>
      <c r="N479" s="524"/>
      <c r="O479" s="524"/>
      <c r="P479" s="560"/>
      <c r="T479" s="529"/>
    </row>
    <row r="480" spans="4:20" s="502" customFormat="1" x14ac:dyDescent="0.2">
      <c r="D480" s="514"/>
      <c r="E480" s="542"/>
      <c r="F480" s="543"/>
      <c r="G480" s="543"/>
      <c r="H480" s="542"/>
      <c r="I480" s="542"/>
      <c r="J480" s="542"/>
      <c r="K480" s="542"/>
      <c r="L480" s="542"/>
      <c r="M480" s="542"/>
      <c r="N480" s="524"/>
      <c r="O480" s="524"/>
      <c r="P480" s="560"/>
      <c r="T480" s="529"/>
    </row>
    <row r="481" spans="4:20" s="502" customFormat="1" x14ac:dyDescent="0.2">
      <c r="D481" s="514"/>
      <c r="E481" s="542"/>
      <c r="F481" s="543"/>
      <c r="G481" s="543"/>
      <c r="H481" s="542"/>
      <c r="I481" s="542"/>
      <c r="J481" s="542"/>
      <c r="K481" s="542"/>
      <c r="L481" s="542"/>
      <c r="M481" s="542"/>
      <c r="N481" s="524"/>
      <c r="O481" s="524"/>
      <c r="P481" s="560"/>
      <c r="T481" s="529"/>
    </row>
    <row r="482" spans="4:20" s="502" customFormat="1" x14ac:dyDescent="0.2">
      <c r="D482" s="514"/>
      <c r="E482" s="542"/>
      <c r="F482" s="543"/>
      <c r="G482" s="543"/>
      <c r="H482" s="542"/>
      <c r="I482" s="542"/>
      <c r="J482" s="542"/>
      <c r="K482" s="542"/>
      <c r="L482" s="542"/>
      <c r="M482" s="542"/>
      <c r="N482" s="524"/>
      <c r="O482" s="524"/>
      <c r="P482" s="560"/>
      <c r="T482" s="529"/>
    </row>
    <row r="483" spans="4:20" s="502" customFormat="1" x14ac:dyDescent="0.2">
      <c r="D483" s="514"/>
      <c r="E483" s="542"/>
      <c r="F483" s="543"/>
      <c r="G483" s="543"/>
      <c r="H483" s="542"/>
      <c r="I483" s="542"/>
      <c r="J483" s="542"/>
      <c r="K483" s="542"/>
      <c r="L483" s="542"/>
      <c r="M483" s="542"/>
      <c r="N483" s="524"/>
      <c r="O483" s="524"/>
      <c r="P483" s="560"/>
      <c r="T483" s="529"/>
    </row>
    <row r="484" spans="4:20" s="502" customFormat="1" x14ac:dyDescent="0.2">
      <c r="D484" s="514"/>
      <c r="E484" s="542"/>
      <c r="F484" s="543"/>
      <c r="G484" s="543"/>
      <c r="H484" s="542"/>
      <c r="I484" s="542"/>
      <c r="J484" s="542"/>
      <c r="K484" s="542"/>
      <c r="L484" s="542"/>
      <c r="M484" s="542"/>
      <c r="N484" s="524"/>
      <c r="O484" s="524"/>
      <c r="P484" s="560"/>
      <c r="T484" s="529"/>
    </row>
    <row r="485" spans="4:20" s="502" customFormat="1" x14ac:dyDescent="0.2">
      <c r="D485" s="514"/>
      <c r="E485" s="542"/>
      <c r="F485" s="543"/>
      <c r="G485" s="543"/>
      <c r="H485" s="542"/>
      <c r="I485" s="542"/>
      <c r="J485" s="542"/>
      <c r="K485" s="542"/>
      <c r="L485" s="542"/>
      <c r="M485" s="542"/>
      <c r="N485" s="524"/>
      <c r="O485" s="524"/>
      <c r="P485" s="560"/>
      <c r="T485" s="529"/>
    </row>
    <row r="486" spans="4:20" s="502" customFormat="1" x14ac:dyDescent="0.2">
      <c r="D486" s="514"/>
      <c r="E486" s="542"/>
      <c r="F486" s="543"/>
      <c r="G486" s="543"/>
      <c r="H486" s="542"/>
      <c r="I486" s="542"/>
      <c r="J486" s="542"/>
      <c r="K486" s="542"/>
      <c r="L486" s="542"/>
      <c r="M486" s="542"/>
      <c r="N486" s="524"/>
      <c r="O486" s="524"/>
      <c r="P486" s="560"/>
      <c r="T486" s="529"/>
    </row>
    <row r="487" spans="4:20" s="502" customFormat="1" x14ac:dyDescent="0.2">
      <c r="D487" s="514"/>
      <c r="E487" s="542"/>
      <c r="F487" s="543"/>
      <c r="G487" s="543"/>
      <c r="H487" s="542"/>
      <c r="I487" s="542"/>
      <c r="J487" s="542"/>
      <c r="K487" s="542"/>
      <c r="L487" s="542"/>
      <c r="M487" s="542"/>
      <c r="N487" s="524"/>
      <c r="O487" s="524"/>
      <c r="P487" s="560"/>
      <c r="T487" s="529"/>
    </row>
    <row r="488" spans="4:20" s="502" customFormat="1" x14ac:dyDescent="0.2">
      <c r="D488" s="514"/>
      <c r="E488" s="542"/>
      <c r="F488" s="543"/>
      <c r="G488" s="543"/>
      <c r="H488" s="542"/>
      <c r="I488" s="542"/>
      <c r="J488" s="542"/>
      <c r="K488" s="542"/>
      <c r="L488" s="542"/>
      <c r="M488" s="542"/>
      <c r="N488" s="524"/>
      <c r="O488" s="524"/>
      <c r="P488" s="560"/>
      <c r="T488" s="529"/>
    </row>
    <row r="489" spans="4:20" s="502" customFormat="1" x14ac:dyDescent="0.2">
      <c r="D489" s="514"/>
      <c r="E489" s="542"/>
      <c r="F489" s="543"/>
      <c r="G489" s="543"/>
      <c r="H489" s="542"/>
      <c r="I489" s="542"/>
      <c r="J489" s="542"/>
      <c r="K489" s="542"/>
      <c r="L489" s="542"/>
      <c r="M489" s="542"/>
      <c r="N489" s="524"/>
      <c r="O489" s="524"/>
      <c r="P489" s="560"/>
      <c r="T489" s="529"/>
    </row>
    <row r="490" spans="4:20" s="502" customFormat="1" x14ac:dyDescent="0.2">
      <c r="D490" s="514"/>
      <c r="E490" s="542"/>
      <c r="F490" s="543"/>
      <c r="G490" s="543"/>
      <c r="H490" s="542"/>
      <c r="I490" s="542"/>
      <c r="J490" s="542"/>
      <c r="K490" s="542"/>
      <c r="L490" s="542"/>
      <c r="M490" s="542"/>
      <c r="N490" s="524"/>
      <c r="O490" s="524"/>
      <c r="P490" s="560"/>
      <c r="T490" s="529"/>
    </row>
    <row r="491" spans="4:20" s="502" customFormat="1" x14ac:dyDescent="0.2">
      <c r="D491" s="514"/>
      <c r="E491" s="542"/>
      <c r="F491" s="543"/>
      <c r="G491" s="543"/>
      <c r="H491" s="542"/>
      <c r="I491" s="542"/>
      <c r="J491" s="542"/>
      <c r="K491" s="542"/>
      <c r="L491" s="542"/>
      <c r="M491" s="542"/>
      <c r="N491" s="524"/>
      <c r="O491" s="524"/>
      <c r="P491" s="560"/>
      <c r="T491" s="529"/>
    </row>
    <row r="492" spans="4:20" s="502" customFormat="1" x14ac:dyDescent="0.2">
      <c r="D492" s="514"/>
      <c r="E492" s="542"/>
      <c r="F492" s="543"/>
      <c r="G492" s="543"/>
      <c r="H492" s="542"/>
      <c r="I492" s="542"/>
      <c r="J492" s="542"/>
      <c r="K492" s="542"/>
      <c r="L492" s="542"/>
      <c r="M492" s="542"/>
      <c r="N492" s="524"/>
      <c r="O492" s="524"/>
      <c r="P492" s="560"/>
      <c r="T492" s="529"/>
    </row>
    <row r="493" spans="4:20" s="502" customFormat="1" x14ac:dyDescent="0.2">
      <c r="D493" s="514"/>
      <c r="E493" s="542"/>
      <c r="F493" s="543"/>
      <c r="G493" s="543"/>
      <c r="H493" s="542"/>
      <c r="I493" s="542"/>
      <c r="J493" s="542"/>
      <c r="K493" s="542"/>
      <c r="L493" s="542"/>
      <c r="M493" s="542"/>
      <c r="N493" s="524"/>
      <c r="O493" s="524"/>
      <c r="P493" s="560"/>
      <c r="T493" s="529"/>
    </row>
    <row r="494" spans="4:20" s="502" customFormat="1" x14ac:dyDescent="0.2">
      <c r="D494" s="514"/>
      <c r="E494" s="542"/>
      <c r="F494" s="543"/>
      <c r="G494" s="543"/>
      <c r="H494" s="542"/>
      <c r="I494" s="542"/>
      <c r="J494" s="542"/>
      <c r="K494" s="542"/>
      <c r="L494" s="542"/>
      <c r="M494" s="542"/>
      <c r="N494" s="524"/>
      <c r="O494" s="524"/>
      <c r="P494" s="560"/>
      <c r="T494" s="529"/>
    </row>
    <row r="495" spans="4:20" s="502" customFormat="1" x14ac:dyDescent="0.2">
      <c r="D495" s="514"/>
      <c r="E495" s="542"/>
      <c r="F495" s="543"/>
      <c r="G495" s="543"/>
      <c r="H495" s="542"/>
      <c r="I495" s="542"/>
      <c r="J495" s="542"/>
      <c r="K495" s="542"/>
      <c r="L495" s="542"/>
      <c r="M495" s="542"/>
      <c r="N495" s="524"/>
      <c r="O495" s="524"/>
      <c r="P495" s="560"/>
      <c r="T495" s="529"/>
    </row>
    <row r="496" spans="4:20" s="502" customFormat="1" x14ac:dyDescent="0.2">
      <c r="D496" s="514"/>
      <c r="E496" s="542"/>
      <c r="F496" s="543"/>
      <c r="G496" s="543"/>
      <c r="H496" s="542"/>
      <c r="I496" s="542"/>
      <c r="J496" s="542"/>
      <c r="K496" s="542"/>
      <c r="L496" s="542"/>
      <c r="M496" s="542"/>
      <c r="N496" s="524"/>
      <c r="O496" s="524"/>
      <c r="P496" s="560"/>
      <c r="T496" s="529"/>
    </row>
    <row r="497" spans="4:20" s="502" customFormat="1" x14ac:dyDescent="0.2">
      <c r="D497" s="514"/>
      <c r="E497" s="542"/>
      <c r="F497" s="543"/>
      <c r="G497" s="543"/>
      <c r="H497" s="542"/>
      <c r="I497" s="542"/>
      <c r="J497" s="542"/>
      <c r="K497" s="542"/>
      <c r="L497" s="542"/>
      <c r="M497" s="542"/>
      <c r="N497" s="524"/>
      <c r="O497" s="524"/>
      <c r="P497" s="560"/>
      <c r="T497" s="529"/>
    </row>
    <row r="498" spans="4:20" s="502" customFormat="1" x14ac:dyDescent="0.2">
      <c r="D498" s="514"/>
      <c r="E498" s="542"/>
      <c r="F498" s="543"/>
      <c r="G498" s="543"/>
      <c r="H498" s="542"/>
      <c r="I498" s="542"/>
      <c r="J498" s="542"/>
      <c r="K498" s="542"/>
      <c r="L498" s="542"/>
      <c r="M498" s="542"/>
      <c r="N498" s="524"/>
      <c r="O498" s="524"/>
      <c r="P498" s="560"/>
      <c r="T498" s="529"/>
    </row>
    <row r="499" spans="4:20" s="502" customFormat="1" x14ac:dyDescent="0.2">
      <c r="D499" s="514"/>
      <c r="E499" s="542"/>
      <c r="F499" s="543"/>
      <c r="G499" s="543"/>
      <c r="H499" s="542"/>
      <c r="I499" s="542"/>
      <c r="J499" s="542"/>
      <c r="K499" s="542"/>
      <c r="L499" s="542"/>
      <c r="M499" s="542"/>
      <c r="N499" s="524"/>
      <c r="O499" s="524"/>
      <c r="P499" s="560"/>
      <c r="T499" s="529"/>
    </row>
    <row r="500" spans="4:20" s="502" customFormat="1" x14ac:dyDescent="0.2">
      <c r="D500" s="514"/>
      <c r="E500" s="542"/>
      <c r="F500" s="543"/>
      <c r="G500" s="543"/>
      <c r="H500" s="542"/>
      <c r="I500" s="542"/>
      <c r="J500" s="542"/>
      <c r="K500" s="542"/>
      <c r="L500" s="542"/>
      <c r="M500" s="542"/>
      <c r="N500" s="524"/>
      <c r="O500" s="524"/>
      <c r="P500" s="560"/>
      <c r="T500" s="529"/>
    </row>
    <row r="501" spans="4:20" s="502" customFormat="1" x14ac:dyDescent="0.2">
      <c r="D501" s="514"/>
      <c r="E501" s="542"/>
      <c r="F501" s="543"/>
      <c r="G501" s="543"/>
      <c r="H501" s="542"/>
      <c r="I501" s="542"/>
      <c r="J501" s="542"/>
      <c r="K501" s="542"/>
      <c r="L501" s="542"/>
      <c r="M501" s="542"/>
      <c r="N501" s="524"/>
      <c r="O501" s="524"/>
      <c r="P501" s="560"/>
      <c r="T501" s="529"/>
    </row>
    <row r="502" spans="4:20" s="502" customFormat="1" x14ac:dyDescent="0.2">
      <c r="D502" s="514"/>
      <c r="E502" s="542"/>
      <c r="F502" s="543"/>
      <c r="G502" s="543"/>
      <c r="H502" s="542"/>
      <c r="I502" s="542"/>
      <c r="J502" s="542"/>
      <c r="K502" s="542"/>
      <c r="L502" s="542"/>
      <c r="M502" s="542"/>
      <c r="N502" s="524"/>
      <c r="O502" s="524"/>
      <c r="P502" s="560"/>
      <c r="T502" s="529"/>
    </row>
    <row r="503" spans="4:20" s="502" customFormat="1" x14ac:dyDescent="0.2">
      <c r="D503" s="514"/>
      <c r="E503" s="542"/>
      <c r="F503" s="543"/>
      <c r="G503" s="543"/>
      <c r="H503" s="542"/>
      <c r="I503" s="542"/>
      <c r="J503" s="542"/>
      <c r="K503" s="542"/>
      <c r="L503" s="542"/>
      <c r="M503" s="542"/>
      <c r="N503" s="524"/>
      <c r="O503" s="524"/>
      <c r="P503" s="560"/>
      <c r="T503" s="529"/>
    </row>
    <row r="504" spans="4:20" s="502" customFormat="1" x14ac:dyDescent="0.2">
      <c r="D504" s="514"/>
      <c r="E504" s="542"/>
      <c r="F504" s="543"/>
      <c r="G504" s="543"/>
      <c r="H504" s="542"/>
      <c r="I504" s="542"/>
      <c r="J504" s="542"/>
      <c r="K504" s="542"/>
      <c r="L504" s="542"/>
      <c r="M504" s="542"/>
      <c r="N504" s="524"/>
      <c r="O504" s="524"/>
      <c r="P504" s="560"/>
      <c r="T504" s="529"/>
    </row>
    <row r="505" spans="4:20" s="502" customFormat="1" x14ac:dyDescent="0.2">
      <c r="D505" s="514"/>
      <c r="E505" s="542"/>
      <c r="F505" s="543"/>
      <c r="G505" s="543"/>
      <c r="H505" s="542"/>
      <c r="I505" s="542"/>
      <c r="J505" s="542"/>
      <c r="K505" s="542"/>
      <c r="L505" s="542"/>
      <c r="M505" s="542"/>
      <c r="N505" s="524"/>
      <c r="O505" s="524"/>
      <c r="P505" s="560"/>
      <c r="T505" s="529"/>
    </row>
    <row r="506" spans="4:20" s="502" customFormat="1" x14ac:dyDescent="0.2">
      <c r="D506" s="514"/>
      <c r="E506" s="542"/>
      <c r="F506" s="543"/>
      <c r="G506" s="543"/>
      <c r="H506" s="542"/>
      <c r="I506" s="542"/>
      <c r="J506" s="542"/>
      <c r="K506" s="542"/>
      <c r="L506" s="542"/>
      <c r="M506" s="542"/>
      <c r="N506" s="524"/>
      <c r="O506" s="524"/>
      <c r="P506" s="560"/>
      <c r="T506" s="529"/>
    </row>
    <row r="507" spans="4:20" s="502" customFormat="1" x14ac:dyDescent="0.2">
      <c r="D507" s="514"/>
      <c r="E507" s="542"/>
      <c r="F507" s="543"/>
      <c r="G507" s="543"/>
      <c r="H507" s="542"/>
      <c r="I507" s="542"/>
      <c r="J507" s="542"/>
      <c r="K507" s="542"/>
      <c r="L507" s="542"/>
      <c r="M507" s="542"/>
      <c r="N507" s="524"/>
      <c r="O507" s="524"/>
      <c r="P507" s="560"/>
      <c r="T507" s="529"/>
    </row>
    <row r="508" spans="4:20" s="502" customFormat="1" x14ac:dyDescent="0.2">
      <c r="D508" s="514"/>
      <c r="E508" s="542"/>
      <c r="F508" s="543"/>
      <c r="G508" s="543"/>
      <c r="H508" s="542"/>
      <c r="I508" s="542"/>
      <c r="J508" s="542"/>
      <c r="K508" s="542"/>
      <c r="L508" s="542"/>
      <c r="M508" s="542"/>
      <c r="N508" s="524"/>
      <c r="O508" s="524"/>
      <c r="P508" s="560"/>
      <c r="T508" s="529"/>
    </row>
    <row r="509" spans="4:20" s="502" customFormat="1" x14ac:dyDescent="0.2">
      <c r="D509" s="514"/>
      <c r="E509" s="542"/>
      <c r="F509" s="543"/>
      <c r="G509" s="543"/>
      <c r="H509" s="542"/>
      <c r="I509" s="542"/>
      <c r="J509" s="542"/>
      <c r="K509" s="542"/>
      <c r="L509" s="542"/>
      <c r="M509" s="542"/>
      <c r="N509" s="524"/>
      <c r="O509" s="524"/>
      <c r="P509" s="560"/>
      <c r="T509" s="529"/>
    </row>
    <row r="510" spans="4:20" s="502" customFormat="1" x14ac:dyDescent="0.2">
      <c r="D510" s="514"/>
      <c r="E510" s="542"/>
      <c r="F510" s="543"/>
      <c r="G510" s="543"/>
      <c r="H510" s="542"/>
      <c r="I510" s="542"/>
      <c r="J510" s="542"/>
      <c r="K510" s="542"/>
      <c r="L510" s="542"/>
      <c r="M510" s="542"/>
      <c r="N510" s="524"/>
      <c r="O510" s="524"/>
      <c r="P510" s="560"/>
      <c r="T510" s="529"/>
    </row>
    <row r="511" spans="4:20" s="502" customFormat="1" x14ac:dyDescent="0.2">
      <c r="D511" s="514"/>
      <c r="E511" s="542"/>
      <c r="F511" s="543"/>
      <c r="G511" s="543"/>
      <c r="H511" s="542"/>
      <c r="I511" s="542"/>
      <c r="J511" s="542"/>
      <c r="K511" s="542"/>
      <c r="L511" s="542"/>
      <c r="M511" s="542"/>
      <c r="N511" s="524"/>
      <c r="O511" s="524"/>
      <c r="P511" s="560"/>
      <c r="T511" s="529"/>
    </row>
    <row r="512" spans="4:20" s="502" customFormat="1" x14ac:dyDescent="0.2">
      <c r="D512" s="514"/>
      <c r="E512" s="542"/>
      <c r="F512" s="543"/>
      <c r="G512" s="543"/>
      <c r="H512" s="542"/>
      <c r="I512" s="542"/>
      <c r="J512" s="542"/>
      <c r="K512" s="542"/>
      <c r="L512" s="542"/>
      <c r="M512" s="542"/>
      <c r="N512" s="524"/>
      <c r="O512" s="524"/>
      <c r="P512" s="560"/>
      <c r="T512" s="529"/>
    </row>
    <row r="513" spans="4:20" s="502" customFormat="1" x14ac:dyDescent="0.2">
      <c r="D513" s="514"/>
      <c r="E513" s="542"/>
      <c r="F513" s="543"/>
      <c r="G513" s="543"/>
      <c r="H513" s="542"/>
      <c r="I513" s="542"/>
      <c r="J513" s="542"/>
      <c r="K513" s="542"/>
      <c r="L513" s="542"/>
      <c r="M513" s="542"/>
      <c r="N513" s="524"/>
      <c r="O513" s="524"/>
      <c r="P513" s="560"/>
      <c r="T513" s="529"/>
    </row>
    <row r="514" spans="4:20" s="502" customFormat="1" x14ac:dyDescent="0.2">
      <c r="D514" s="514"/>
      <c r="E514" s="542"/>
      <c r="F514" s="543"/>
      <c r="G514" s="543"/>
      <c r="H514" s="542"/>
      <c r="I514" s="542"/>
      <c r="J514" s="542"/>
      <c r="K514" s="542"/>
      <c r="L514" s="542"/>
      <c r="M514" s="542"/>
      <c r="N514" s="524"/>
      <c r="O514" s="524"/>
      <c r="P514" s="560"/>
      <c r="T514" s="529"/>
    </row>
    <row r="515" spans="4:20" s="502" customFormat="1" x14ac:dyDescent="0.2">
      <c r="D515" s="514"/>
      <c r="E515" s="542"/>
      <c r="F515" s="543"/>
      <c r="G515" s="543"/>
      <c r="H515" s="542"/>
      <c r="I515" s="542"/>
      <c r="J515" s="542"/>
      <c r="K515" s="542"/>
      <c r="L515" s="542"/>
      <c r="M515" s="542"/>
      <c r="N515" s="524"/>
      <c r="O515" s="524"/>
      <c r="P515" s="560"/>
      <c r="T515" s="529"/>
    </row>
    <row r="516" spans="4:20" s="502" customFormat="1" x14ac:dyDescent="0.2">
      <c r="D516" s="514"/>
      <c r="E516" s="542"/>
      <c r="F516" s="543"/>
      <c r="G516" s="543"/>
      <c r="H516" s="542"/>
      <c r="I516" s="542"/>
      <c r="J516" s="542"/>
      <c r="K516" s="542"/>
      <c r="L516" s="542"/>
      <c r="M516" s="542"/>
      <c r="N516" s="524"/>
      <c r="O516" s="524"/>
      <c r="P516" s="560"/>
      <c r="T516" s="529"/>
    </row>
    <row r="517" spans="4:20" s="502" customFormat="1" x14ac:dyDescent="0.2">
      <c r="D517" s="514"/>
      <c r="E517" s="542"/>
      <c r="F517" s="543"/>
      <c r="G517" s="543"/>
      <c r="H517" s="542"/>
      <c r="I517" s="542"/>
      <c r="J517" s="542"/>
      <c r="K517" s="542"/>
      <c r="L517" s="542"/>
      <c r="M517" s="542"/>
      <c r="N517" s="524"/>
      <c r="O517" s="524"/>
      <c r="P517" s="560"/>
      <c r="T517" s="529"/>
    </row>
    <row r="518" spans="4:20" s="502" customFormat="1" x14ac:dyDescent="0.2">
      <c r="D518" s="514"/>
      <c r="E518" s="542"/>
      <c r="F518" s="543"/>
      <c r="G518" s="543"/>
      <c r="H518" s="542"/>
      <c r="I518" s="542"/>
      <c r="J518" s="542"/>
      <c r="K518" s="542"/>
      <c r="L518" s="542"/>
      <c r="M518" s="542"/>
      <c r="N518" s="524"/>
      <c r="O518" s="524"/>
      <c r="P518" s="560"/>
      <c r="T518" s="529"/>
    </row>
    <row r="519" spans="4:20" s="502" customFormat="1" x14ac:dyDescent="0.2">
      <c r="D519" s="514"/>
      <c r="E519" s="542"/>
      <c r="F519" s="543"/>
      <c r="G519" s="543"/>
      <c r="H519" s="542"/>
      <c r="I519" s="542"/>
      <c r="J519" s="542"/>
      <c r="K519" s="542"/>
      <c r="L519" s="542"/>
      <c r="M519" s="542"/>
      <c r="N519" s="524"/>
      <c r="O519" s="524"/>
      <c r="P519" s="560"/>
      <c r="T519" s="529"/>
    </row>
    <row r="520" spans="4:20" s="502" customFormat="1" x14ac:dyDescent="0.2">
      <c r="D520" s="514"/>
      <c r="E520" s="542"/>
      <c r="F520" s="543"/>
      <c r="G520" s="543"/>
      <c r="H520" s="542"/>
      <c r="I520" s="542"/>
      <c r="J520" s="542"/>
      <c r="K520" s="542"/>
      <c r="L520" s="542"/>
      <c r="M520" s="542"/>
      <c r="N520" s="524"/>
      <c r="O520" s="524"/>
      <c r="P520" s="560"/>
      <c r="T520" s="529"/>
    </row>
    <row r="521" spans="4:20" s="502" customFormat="1" x14ac:dyDescent="0.2">
      <c r="D521" s="514"/>
      <c r="E521" s="542"/>
      <c r="F521" s="543"/>
      <c r="G521" s="543"/>
      <c r="H521" s="542"/>
      <c r="I521" s="542"/>
      <c r="J521" s="542"/>
      <c r="K521" s="542"/>
      <c r="L521" s="542"/>
      <c r="M521" s="542"/>
      <c r="N521" s="524"/>
      <c r="O521" s="524"/>
      <c r="P521" s="560"/>
      <c r="T521" s="529"/>
    </row>
    <row r="522" spans="4:20" s="502" customFormat="1" x14ac:dyDescent="0.2">
      <c r="D522" s="514"/>
      <c r="E522" s="542"/>
      <c r="F522" s="543"/>
      <c r="G522" s="543"/>
      <c r="H522" s="542"/>
      <c r="I522" s="542"/>
      <c r="J522" s="542"/>
      <c r="K522" s="542"/>
      <c r="L522" s="542"/>
      <c r="M522" s="542"/>
      <c r="N522" s="524"/>
      <c r="O522" s="524"/>
      <c r="P522" s="560"/>
      <c r="T522" s="529"/>
    </row>
    <row r="523" spans="4:20" s="502" customFormat="1" x14ac:dyDescent="0.2">
      <c r="D523" s="514"/>
      <c r="E523" s="542"/>
      <c r="F523" s="543"/>
      <c r="G523" s="543"/>
      <c r="H523" s="542"/>
      <c r="I523" s="542"/>
      <c r="J523" s="542"/>
      <c r="K523" s="542"/>
      <c r="L523" s="542"/>
      <c r="M523" s="542"/>
      <c r="N523" s="524"/>
      <c r="O523" s="524"/>
      <c r="P523" s="560"/>
      <c r="T523" s="529"/>
    </row>
    <row r="524" spans="4:20" s="502" customFormat="1" x14ac:dyDescent="0.2">
      <c r="D524" s="514"/>
      <c r="E524" s="542"/>
      <c r="F524" s="543"/>
      <c r="G524" s="543"/>
      <c r="H524" s="542"/>
      <c r="I524" s="542"/>
      <c r="J524" s="542"/>
      <c r="K524" s="542"/>
      <c r="L524" s="542"/>
      <c r="M524" s="542"/>
      <c r="N524" s="524"/>
      <c r="O524" s="524"/>
      <c r="P524" s="560"/>
      <c r="T524" s="529"/>
    </row>
    <row r="525" spans="4:20" s="502" customFormat="1" x14ac:dyDescent="0.2">
      <c r="D525" s="514"/>
      <c r="E525" s="542"/>
      <c r="F525" s="543"/>
      <c r="G525" s="543"/>
      <c r="H525" s="542"/>
      <c r="I525" s="542"/>
      <c r="J525" s="542"/>
      <c r="K525" s="542"/>
      <c r="L525" s="542"/>
      <c r="M525" s="542"/>
      <c r="N525" s="524"/>
      <c r="O525" s="524"/>
      <c r="P525" s="560"/>
      <c r="T525" s="529"/>
    </row>
    <row r="526" spans="4:20" s="502" customFormat="1" x14ac:dyDescent="0.2">
      <c r="D526" s="514"/>
      <c r="E526" s="542"/>
      <c r="F526" s="543"/>
      <c r="G526" s="543"/>
      <c r="H526" s="542"/>
      <c r="I526" s="542"/>
      <c r="J526" s="542"/>
      <c r="K526" s="542"/>
      <c r="L526" s="542"/>
      <c r="M526" s="542"/>
      <c r="N526" s="524"/>
      <c r="O526" s="524"/>
      <c r="P526" s="560"/>
      <c r="T526" s="529"/>
    </row>
    <row r="527" spans="4:20" s="502" customFormat="1" x14ac:dyDescent="0.2">
      <c r="D527" s="514"/>
      <c r="E527" s="542"/>
      <c r="F527" s="543"/>
      <c r="G527" s="543"/>
      <c r="H527" s="542"/>
      <c r="I527" s="542"/>
      <c r="J527" s="542"/>
      <c r="K527" s="542"/>
      <c r="L527" s="542"/>
      <c r="M527" s="542"/>
      <c r="N527" s="524"/>
      <c r="O527" s="524"/>
      <c r="P527" s="560"/>
      <c r="T527" s="529"/>
    </row>
    <row r="528" spans="4:20" s="502" customFormat="1" x14ac:dyDescent="0.2">
      <c r="D528" s="514"/>
      <c r="E528" s="542"/>
      <c r="F528" s="543"/>
      <c r="G528" s="543"/>
      <c r="H528" s="542"/>
      <c r="I528" s="542"/>
      <c r="J528" s="542"/>
      <c r="K528" s="542"/>
      <c r="L528" s="542"/>
      <c r="M528" s="542"/>
      <c r="N528" s="524"/>
      <c r="O528" s="524"/>
      <c r="P528" s="560"/>
      <c r="T528" s="529"/>
    </row>
    <row r="529" spans="4:20" s="502" customFormat="1" x14ac:dyDescent="0.2">
      <c r="D529" s="514"/>
      <c r="E529" s="542"/>
      <c r="F529" s="543"/>
      <c r="G529" s="543"/>
      <c r="H529" s="542"/>
      <c r="I529" s="542"/>
      <c r="J529" s="542"/>
      <c r="K529" s="542"/>
      <c r="L529" s="542"/>
      <c r="M529" s="542"/>
      <c r="N529" s="524"/>
      <c r="O529" s="524"/>
      <c r="P529" s="560"/>
      <c r="T529" s="529"/>
    </row>
    <row r="530" spans="4:20" s="502" customFormat="1" x14ac:dyDescent="0.2">
      <c r="D530" s="514"/>
      <c r="E530" s="542"/>
      <c r="F530" s="543"/>
      <c r="G530" s="543"/>
      <c r="H530" s="542"/>
      <c r="I530" s="542"/>
      <c r="J530" s="542"/>
      <c r="K530" s="542"/>
      <c r="L530" s="542"/>
      <c r="M530" s="542"/>
      <c r="N530" s="524"/>
      <c r="O530" s="524"/>
      <c r="P530" s="560"/>
      <c r="T530" s="529"/>
    </row>
    <row r="531" spans="4:20" s="502" customFormat="1" x14ac:dyDescent="0.2">
      <c r="D531" s="514"/>
      <c r="E531" s="542"/>
      <c r="F531" s="543"/>
      <c r="G531" s="543"/>
      <c r="H531" s="542"/>
      <c r="I531" s="542"/>
      <c r="J531" s="542"/>
      <c r="K531" s="542"/>
      <c r="L531" s="542"/>
      <c r="M531" s="542"/>
      <c r="N531" s="524"/>
      <c r="O531" s="524"/>
      <c r="P531" s="560"/>
      <c r="T531" s="529"/>
    </row>
    <row r="532" spans="4:20" s="502" customFormat="1" x14ac:dyDescent="0.2">
      <c r="D532" s="514"/>
      <c r="E532" s="542"/>
      <c r="F532" s="543"/>
      <c r="G532" s="543"/>
      <c r="H532" s="542"/>
      <c r="I532" s="542"/>
      <c r="J532" s="542"/>
      <c r="K532" s="542"/>
      <c r="L532" s="542"/>
      <c r="M532" s="542"/>
      <c r="N532" s="524"/>
      <c r="O532" s="524"/>
      <c r="P532" s="560"/>
      <c r="T532" s="529"/>
    </row>
    <row r="533" spans="4:20" s="502" customFormat="1" x14ac:dyDescent="0.2">
      <c r="D533" s="514"/>
      <c r="E533" s="542"/>
      <c r="F533" s="543"/>
      <c r="G533" s="543"/>
      <c r="H533" s="542"/>
      <c r="I533" s="542"/>
      <c r="J533" s="542"/>
      <c r="K533" s="542"/>
      <c r="L533" s="542"/>
      <c r="M533" s="542"/>
      <c r="N533" s="524"/>
      <c r="O533" s="524"/>
      <c r="P533" s="560"/>
      <c r="T533" s="529"/>
    </row>
    <row r="534" spans="4:20" s="502" customFormat="1" x14ac:dyDescent="0.2">
      <c r="D534" s="514"/>
      <c r="E534" s="542"/>
      <c r="F534" s="543"/>
      <c r="G534" s="543"/>
      <c r="H534" s="542"/>
      <c r="I534" s="542"/>
      <c r="J534" s="542"/>
      <c r="K534" s="542"/>
      <c r="L534" s="542"/>
      <c r="M534" s="542"/>
      <c r="N534" s="524"/>
      <c r="O534" s="524"/>
      <c r="P534" s="560"/>
      <c r="T534" s="529"/>
    </row>
    <row r="535" spans="4:20" s="502" customFormat="1" x14ac:dyDescent="0.2">
      <c r="D535" s="514"/>
      <c r="E535" s="542"/>
      <c r="F535" s="543"/>
      <c r="G535" s="543"/>
      <c r="H535" s="542"/>
      <c r="I535" s="542"/>
      <c r="J535" s="542"/>
      <c r="K535" s="542"/>
      <c r="L535" s="542"/>
      <c r="M535" s="542"/>
      <c r="N535" s="524"/>
      <c r="O535" s="524"/>
      <c r="P535" s="560"/>
      <c r="T535" s="529"/>
    </row>
    <row r="536" spans="4:20" s="502" customFormat="1" x14ac:dyDescent="0.2">
      <c r="D536" s="514"/>
      <c r="E536" s="542"/>
      <c r="F536" s="543"/>
      <c r="G536" s="543"/>
      <c r="H536" s="542"/>
      <c r="I536" s="542"/>
      <c r="J536" s="542"/>
      <c r="K536" s="542"/>
      <c r="L536" s="542"/>
      <c r="M536" s="542"/>
      <c r="N536" s="524"/>
      <c r="O536" s="524"/>
      <c r="P536" s="560"/>
      <c r="T536" s="529"/>
    </row>
    <row r="537" spans="4:20" s="502" customFormat="1" x14ac:dyDescent="0.2">
      <c r="D537" s="514"/>
      <c r="E537" s="542"/>
      <c r="F537" s="543"/>
      <c r="G537" s="543"/>
      <c r="H537" s="542"/>
      <c r="I537" s="542"/>
      <c r="J537" s="542"/>
      <c r="K537" s="542"/>
      <c r="L537" s="542"/>
      <c r="M537" s="542"/>
      <c r="N537" s="524"/>
      <c r="O537" s="524"/>
      <c r="P537" s="560"/>
      <c r="T537" s="529"/>
    </row>
    <row r="538" spans="4:20" s="502" customFormat="1" x14ac:dyDescent="0.2">
      <c r="D538" s="514"/>
      <c r="E538" s="542"/>
      <c r="F538" s="543"/>
      <c r="G538" s="543"/>
      <c r="H538" s="542"/>
      <c r="I538" s="542"/>
      <c r="J538" s="542"/>
      <c r="K538" s="542"/>
      <c r="L538" s="542"/>
      <c r="M538" s="542"/>
      <c r="N538" s="524"/>
      <c r="O538" s="524"/>
      <c r="P538" s="560"/>
      <c r="T538" s="529"/>
    </row>
    <row r="539" spans="4:20" s="502" customFormat="1" x14ac:dyDescent="0.2">
      <c r="D539" s="514"/>
      <c r="E539" s="542"/>
      <c r="F539" s="543"/>
      <c r="G539" s="543"/>
      <c r="H539" s="542"/>
      <c r="I539" s="542"/>
      <c r="J539" s="542"/>
      <c r="K539" s="542"/>
      <c r="L539" s="542"/>
      <c r="M539" s="542"/>
      <c r="N539" s="524"/>
      <c r="O539" s="524"/>
      <c r="P539" s="560"/>
      <c r="T539" s="529"/>
    </row>
    <row r="540" spans="4:20" s="502" customFormat="1" x14ac:dyDescent="0.2">
      <c r="D540" s="514"/>
      <c r="E540" s="542"/>
      <c r="F540" s="543"/>
      <c r="G540" s="543"/>
      <c r="H540" s="542"/>
      <c r="I540" s="542"/>
      <c r="J540" s="542"/>
      <c r="K540" s="542"/>
      <c r="L540" s="542"/>
      <c r="M540" s="542"/>
      <c r="N540" s="524"/>
      <c r="O540" s="524"/>
      <c r="P540" s="560"/>
      <c r="T540" s="529"/>
    </row>
    <row r="541" spans="4:20" s="502" customFormat="1" x14ac:dyDescent="0.2">
      <c r="D541" s="514"/>
      <c r="E541" s="542"/>
      <c r="F541" s="543"/>
      <c r="G541" s="543"/>
      <c r="H541" s="542"/>
      <c r="I541" s="542"/>
      <c r="J541" s="542"/>
      <c r="K541" s="542"/>
      <c r="L541" s="542"/>
      <c r="M541" s="542"/>
      <c r="N541" s="524"/>
      <c r="O541" s="524"/>
      <c r="P541" s="560"/>
      <c r="T541" s="529"/>
    </row>
    <row r="542" spans="4:20" s="502" customFormat="1" x14ac:dyDescent="0.2">
      <c r="D542" s="514"/>
      <c r="E542" s="542"/>
      <c r="F542" s="543"/>
      <c r="G542" s="543"/>
      <c r="H542" s="542"/>
      <c r="I542" s="542"/>
      <c r="J542" s="542"/>
      <c r="K542" s="542"/>
      <c r="L542" s="542"/>
      <c r="M542" s="542"/>
      <c r="N542" s="524"/>
      <c r="O542" s="524"/>
      <c r="P542" s="560"/>
      <c r="T542" s="529"/>
    </row>
    <row r="543" spans="4:20" s="502" customFormat="1" x14ac:dyDescent="0.2">
      <c r="D543" s="514"/>
      <c r="E543" s="542"/>
      <c r="F543" s="543"/>
      <c r="G543" s="543"/>
      <c r="H543" s="542"/>
      <c r="I543" s="542"/>
      <c r="J543" s="542"/>
      <c r="K543" s="542"/>
      <c r="L543" s="542"/>
      <c r="M543" s="542"/>
      <c r="N543" s="524"/>
      <c r="O543" s="524"/>
      <c r="P543" s="560"/>
      <c r="T543" s="529"/>
    </row>
    <row r="544" spans="4:20" s="502" customFormat="1" x14ac:dyDescent="0.2">
      <c r="D544" s="514"/>
      <c r="E544" s="542"/>
      <c r="F544" s="543"/>
      <c r="G544" s="543"/>
      <c r="H544" s="542"/>
      <c r="I544" s="542"/>
      <c r="J544" s="542"/>
      <c r="K544" s="542"/>
      <c r="L544" s="542"/>
      <c r="M544" s="542"/>
      <c r="N544" s="524"/>
      <c r="O544" s="524"/>
      <c r="P544" s="560"/>
      <c r="T544" s="529"/>
    </row>
    <row r="545" spans="4:20" s="502" customFormat="1" x14ac:dyDescent="0.2">
      <c r="D545" s="514"/>
      <c r="E545" s="542"/>
      <c r="F545" s="543"/>
      <c r="G545" s="543"/>
      <c r="H545" s="542"/>
      <c r="I545" s="542"/>
      <c r="J545" s="542"/>
      <c r="K545" s="542"/>
      <c r="L545" s="542"/>
      <c r="M545" s="542"/>
      <c r="N545" s="524"/>
      <c r="O545" s="524"/>
      <c r="P545" s="560"/>
      <c r="T545" s="529"/>
    </row>
    <row r="546" spans="4:20" s="502" customFormat="1" x14ac:dyDescent="0.2">
      <c r="D546" s="514"/>
      <c r="E546" s="542"/>
      <c r="F546" s="543"/>
      <c r="G546" s="543"/>
      <c r="H546" s="542"/>
      <c r="I546" s="542"/>
      <c r="J546" s="542"/>
      <c r="K546" s="542"/>
      <c r="L546" s="542"/>
      <c r="M546" s="542"/>
      <c r="N546" s="524"/>
      <c r="O546" s="524"/>
      <c r="P546" s="560"/>
      <c r="T546" s="529"/>
    </row>
    <row r="547" spans="4:20" s="502" customFormat="1" x14ac:dyDescent="0.2">
      <c r="D547" s="514"/>
      <c r="E547" s="542"/>
      <c r="F547" s="543"/>
      <c r="G547" s="543"/>
      <c r="H547" s="542"/>
      <c r="I547" s="542"/>
      <c r="J547" s="542"/>
      <c r="K547" s="542"/>
      <c r="L547" s="542"/>
      <c r="M547" s="542"/>
      <c r="N547" s="524"/>
      <c r="O547" s="524"/>
      <c r="P547" s="560"/>
      <c r="T547" s="529"/>
    </row>
    <row r="548" spans="4:20" s="502" customFormat="1" x14ac:dyDescent="0.2">
      <c r="D548" s="514"/>
      <c r="E548" s="542"/>
      <c r="F548" s="543"/>
      <c r="G548" s="543"/>
      <c r="H548" s="542"/>
      <c r="I548" s="542"/>
      <c r="J548" s="542"/>
      <c r="K548" s="542"/>
      <c r="L548" s="542"/>
      <c r="M548" s="542"/>
      <c r="N548" s="524"/>
      <c r="O548" s="524"/>
      <c r="P548" s="560"/>
      <c r="T548" s="529"/>
    </row>
    <row r="549" spans="4:20" s="502" customFormat="1" x14ac:dyDescent="0.2">
      <c r="D549" s="514"/>
      <c r="E549" s="542"/>
      <c r="F549" s="543"/>
      <c r="G549" s="543"/>
      <c r="H549" s="542"/>
      <c r="I549" s="542"/>
      <c r="J549" s="542"/>
      <c r="K549" s="542"/>
      <c r="L549" s="542"/>
      <c r="M549" s="542"/>
      <c r="N549" s="524"/>
      <c r="O549" s="524"/>
      <c r="P549" s="560"/>
      <c r="T549" s="529"/>
    </row>
    <row r="550" spans="4:20" s="502" customFormat="1" x14ac:dyDescent="0.2">
      <c r="D550" s="514"/>
      <c r="E550" s="542"/>
      <c r="F550" s="543"/>
      <c r="G550" s="543"/>
      <c r="H550" s="542"/>
      <c r="I550" s="542"/>
      <c r="J550" s="542"/>
      <c r="K550" s="542"/>
      <c r="L550" s="542"/>
      <c r="M550" s="542"/>
      <c r="N550" s="524"/>
      <c r="O550" s="524"/>
      <c r="P550" s="560"/>
      <c r="T550" s="529"/>
    </row>
    <row r="551" spans="4:20" s="502" customFormat="1" x14ac:dyDescent="0.2">
      <c r="D551" s="514"/>
      <c r="E551" s="542"/>
      <c r="F551" s="543"/>
      <c r="G551" s="543"/>
      <c r="H551" s="542"/>
      <c r="I551" s="542"/>
      <c r="J551" s="542"/>
      <c r="K551" s="542"/>
      <c r="L551" s="542"/>
      <c r="M551" s="542"/>
      <c r="N551" s="524"/>
      <c r="O551" s="524"/>
      <c r="P551" s="560"/>
      <c r="T551" s="529"/>
    </row>
    <row r="552" spans="4:20" s="502" customFormat="1" x14ac:dyDescent="0.2">
      <c r="D552" s="514"/>
      <c r="E552" s="542"/>
      <c r="F552" s="543"/>
      <c r="G552" s="543"/>
      <c r="H552" s="542"/>
      <c r="I552" s="542"/>
      <c r="J552" s="542"/>
      <c r="K552" s="542"/>
      <c r="L552" s="542"/>
      <c r="M552" s="542"/>
      <c r="N552" s="524"/>
      <c r="O552" s="524"/>
      <c r="P552" s="560"/>
      <c r="T552" s="529"/>
    </row>
    <row r="553" spans="4:20" s="502" customFormat="1" x14ac:dyDescent="0.2">
      <c r="D553" s="514"/>
      <c r="E553" s="542"/>
      <c r="F553" s="543"/>
      <c r="G553" s="543"/>
      <c r="H553" s="542"/>
      <c r="I553" s="542"/>
      <c r="J553" s="542"/>
      <c r="K553" s="542"/>
      <c r="L553" s="542"/>
      <c r="M553" s="542"/>
      <c r="N553" s="524"/>
      <c r="O553" s="524"/>
      <c r="P553" s="560"/>
      <c r="T553" s="529"/>
    </row>
    <row r="554" spans="4:20" s="502" customFormat="1" x14ac:dyDescent="0.2">
      <c r="D554" s="514"/>
      <c r="E554" s="542"/>
      <c r="F554" s="543"/>
      <c r="G554" s="543"/>
      <c r="H554" s="542"/>
      <c r="I554" s="542"/>
      <c r="J554" s="542"/>
      <c r="K554" s="542"/>
      <c r="L554" s="542"/>
      <c r="M554" s="542"/>
      <c r="N554" s="524"/>
      <c r="O554" s="524"/>
      <c r="P554" s="560"/>
      <c r="T554" s="529"/>
    </row>
    <row r="555" spans="4:20" s="502" customFormat="1" x14ac:dyDescent="0.2">
      <c r="D555" s="514"/>
      <c r="E555" s="542"/>
      <c r="F555" s="543"/>
      <c r="G555" s="543"/>
      <c r="H555" s="542"/>
      <c r="I555" s="542"/>
      <c r="J555" s="542"/>
      <c r="K555" s="542"/>
      <c r="L555" s="542"/>
      <c r="M555" s="542"/>
      <c r="N555" s="524"/>
      <c r="O555" s="524"/>
      <c r="P555" s="560"/>
      <c r="T555" s="529"/>
    </row>
    <row r="556" spans="4:20" s="502" customFormat="1" x14ac:dyDescent="0.2">
      <c r="D556" s="514"/>
      <c r="E556" s="542"/>
      <c r="F556" s="543"/>
      <c r="G556" s="543"/>
      <c r="H556" s="542"/>
      <c r="I556" s="542"/>
      <c r="J556" s="542"/>
      <c r="K556" s="542"/>
      <c r="L556" s="542"/>
      <c r="M556" s="542"/>
      <c r="N556" s="524"/>
      <c r="O556" s="524"/>
      <c r="P556" s="560"/>
      <c r="T556" s="529"/>
    </row>
    <row r="557" spans="4:20" s="502" customFormat="1" x14ac:dyDescent="0.2">
      <c r="D557" s="514"/>
      <c r="E557" s="542"/>
      <c r="F557" s="543"/>
      <c r="G557" s="543"/>
      <c r="H557" s="542"/>
      <c r="I557" s="542"/>
      <c r="J557" s="542"/>
      <c r="K557" s="542"/>
      <c r="L557" s="542"/>
      <c r="M557" s="542"/>
      <c r="N557" s="524"/>
      <c r="O557" s="524"/>
      <c r="P557" s="560"/>
      <c r="T557" s="529"/>
    </row>
    <row r="558" spans="4:20" s="502" customFormat="1" x14ac:dyDescent="0.2">
      <c r="D558" s="514"/>
      <c r="E558" s="542"/>
      <c r="F558" s="543"/>
      <c r="G558" s="543"/>
      <c r="H558" s="542"/>
      <c r="I558" s="542"/>
      <c r="J558" s="542"/>
      <c r="K558" s="542"/>
      <c r="L558" s="542"/>
      <c r="M558" s="542"/>
      <c r="N558" s="524"/>
      <c r="O558" s="524"/>
      <c r="P558" s="560"/>
      <c r="T558" s="529"/>
    </row>
    <row r="559" spans="4:20" s="502" customFormat="1" x14ac:dyDescent="0.2">
      <c r="D559" s="514"/>
      <c r="E559" s="542"/>
      <c r="F559" s="543"/>
      <c r="G559" s="543"/>
      <c r="H559" s="542"/>
      <c r="I559" s="542"/>
      <c r="J559" s="542"/>
      <c r="K559" s="542"/>
      <c r="L559" s="542"/>
      <c r="M559" s="542"/>
      <c r="N559" s="524"/>
      <c r="O559" s="524"/>
      <c r="P559" s="560"/>
      <c r="T559" s="529"/>
    </row>
    <row r="560" spans="4:20" s="502" customFormat="1" x14ac:dyDescent="0.2">
      <c r="D560" s="514"/>
      <c r="E560" s="542"/>
      <c r="F560" s="543"/>
      <c r="G560" s="543"/>
      <c r="H560" s="542"/>
      <c r="I560" s="542"/>
      <c r="J560" s="542"/>
      <c r="K560" s="542"/>
      <c r="L560" s="542"/>
      <c r="M560" s="542"/>
      <c r="N560" s="524"/>
      <c r="O560" s="524"/>
      <c r="P560" s="560"/>
      <c r="T560" s="529"/>
    </row>
    <row r="561" spans="4:20" s="502" customFormat="1" x14ac:dyDescent="0.2">
      <c r="D561" s="514"/>
      <c r="E561" s="542"/>
      <c r="F561" s="543"/>
      <c r="G561" s="543"/>
      <c r="H561" s="542"/>
      <c r="I561" s="542"/>
      <c r="J561" s="542"/>
      <c r="K561" s="542"/>
      <c r="L561" s="542"/>
      <c r="M561" s="542"/>
      <c r="N561" s="524"/>
      <c r="O561" s="524"/>
      <c r="P561" s="560"/>
      <c r="T561" s="529"/>
    </row>
    <row r="562" spans="4:20" s="502" customFormat="1" x14ac:dyDescent="0.2">
      <c r="D562" s="514"/>
      <c r="E562" s="542"/>
      <c r="F562" s="543"/>
      <c r="G562" s="543"/>
      <c r="H562" s="542"/>
      <c r="I562" s="542"/>
      <c r="J562" s="542"/>
      <c r="K562" s="542"/>
      <c r="L562" s="542"/>
      <c r="M562" s="542"/>
      <c r="N562" s="524"/>
      <c r="O562" s="524"/>
      <c r="P562" s="560"/>
      <c r="T562" s="529"/>
    </row>
    <row r="563" spans="4:20" s="502" customFormat="1" x14ac:dyDescent="0.2">
      <c r="D563" s="514"/>
      <c r="E563" s="542"/>
      <c r="F563" s="543"/>
      <c r="G563" s="543"/>
      <c r="H563" s="542"/>
      <c r="I563" s="542"/>
      <c r="J563" s="542"/>
      <c r="K563" s="542"/>
      <c r="L563" s="542"/>
      <c r="M563" s="542"/>
      <c r="N563" s="524"/>
      <c r="O563" s="524"/>
      <c r="P563" s="560"/>
      <c r="T563" s="529"/>
    </row>
    <row r="564" spans="4:20" s="502" customFormat="1" x14ac:dyDescent="0.2">
      <c r="D564" s="514"/>
      <c r="E564" s="542"/>
      <c r="F564" s="543"/>
      <c r="G564" s="543"/>
      <c r="H564" s="542"/>
      <c r="I564" s="542"/>
      <c r="J564" s="542"/>
      <c r="K564" s="542"/>
      <c r="L564" s="542"/>
      <c r="M564" s="542"/>
      <c r="N564" s="524"/>
      <c r="O564" s="524"/>
      <c r="P564" s="560"/>
      <c r="T564" s="529"/>
    </row>
    <row r="565" spans="4:20" s="502" customFormat="1" x14ac:dyDescent="0.2">
      <c r="D565" s="514"/>
      <c r="E565" s="542"/>
      <c r="F565" s="543"/>
      <c r="G565" s="543"/>
      <c r="H565" s="542"/>
      <c r="I565" s="542"/>
      <c r="J565" s="542"/>
      <c r="K565" s="542"/>
      <c r="L565" s="542"/>
      <c r="M565" s="542"/>
      <c r="N565" s="524"/>
      <c r="O565" s="524"/>
      <c r="P565" s="560"/>
      <c r="T565" s="529"/>
    </row>
    <row r="566" spans="4:20" s="502" customFormat="1" x14ac:dyDescent="0.2">
      <c r="D566" s="514"/>
      <c r="E566" s="542"/>
      <c r="F566" s="543"/>
      <c r="G566" s="543"/>
      <c r="H566" s="542"/>
      <c r="I566" s="542"/>
      <c r="J566" s="542"/>
      <c r="K566" s="542"/>
      <c r="L566" s="542"/>
      <c r="M566" s="542"/>
      <c r="N566" s="524"/>
      <c r="O566" s="524"/>
      <c r="P566" s="560"/>
      <c r="T566" s="529"/>
    </row>
    <row r="567" spans="4:20" s="502" customFormat="1" x14ac:dyDescent="0.2">
      <c r="D567" s="514"/>
      <c r="E567" s="542"/>
      <c r="F567" s="543"/>
      <c r="G567" s="543"/>
      <c r="H567" s="542"/>
      <c r="I567" s="542"/>
      <c r="J567" s="542"/>
      <c r="K567" s="542"/>
      <c r="L567" s="542"/>
      <c r="M567" s="542"/>
      <c r="N567" s="524"/>
      <c r="O567" s="524"/>
      <c r="P567" s="560"/>
      <c r="T567" s="529"/>
    </row>
    <row r="568" spans="4:20" s="502" customFormat="1" x14ac:dyDescent="0.2">
      <c r="D568" s="514"/>
      <c r="E568" s="542"/>
      <c r="F568" s="543"/>
      <c r="G568" s="543"/>
      <c r="H568" s="542"/>
      <c r="I568" s="542"/>
      <c r="J568" s="542"/>
      <c r="K568" s="542"/>
      <c r="L568" s="542"/>
      <c r="M568" s="542"/>
      <c r="N568" s="524"/>
      <c r="O568" s="524"/>
      <c r="P568" s="560"/>
      <c r="T568" s="529"/>
    </row>
    <row r="569" spans="4:20" s="502" customFormat="1" x14ac:dyDescent="0.2">
      <c r="D569" s="514"/>
      <c r="E569" s="542"/>
      <c r="F569" s="543"/>
      <c r="G569" s="543"/>
      <c r="H569" s="542"/>
      <c r="I569" s="542"/>
      <c r="J569" s="542"/>
      <c r="K569" s="542"/>
      <c r="L569" s="542"/>
      <c r="M569" s="542"/>
      <c r="N569" s="524"/>
      <c r="O569" s="524"/>
      <c r="P569" s="560"/>
      <c r="T569" s="529"/>
    </row>
    <row r="570" spans="4:20" s="502" customFormat="1" x14ac:dyDescent="0.2">
      <c r="D570" s="514"/>
      <c r="E570" s="542"/>
      <c r="F570" s="543"/>
      <c r="G570" s="543"/>
      <c r="H570" s="542"/>
      <c r="I570" s="542"/>
      <c r="J570" s="542"/>
      <c r="K570" s="542"/>
      <c r="L570" s="542"/>
      <c r="M570" s="542"/>
      <c r="N570" s="524"/>
      <c r="O570" s="524"/>
      <c r="P570" s="560"/>
      <c r="T570" s="529"/>
    </row>
    <row r="571" spans="4:20" s="502" customFormat="1" x14ac:dyDescent="0.2">
      <c r="D571" s="514"/>
      <c r="E571" s="542"/>
      <c r="F571" s="543"/>
      <c r="G571" s="543"/>
      <c r="H571" s="542"/>
      <c r="I571" s="542"/>
      <c r="J571" s="542"/>
      <c r="K571" s="542"/>
      <c r="L571" s="542"/>
      <c r="M571" s="542"/>
      <c r="N571" s="524"/>
      <c r="O571" s="524"/>
      <c r="P571" s="560"/>
      <c r="T571" s="529"/>
    </row>
    <row r="572" spans="4:20" s="502" customFormat="1" x14ac:dyDescent="0.2">
      <c r="D572" s="514"/>
      <c r="E572" s="542"/>
      <c r="F572" s="543"/>
      <c r="G572" s="543"/>
      <c r="H572" s="542"/>
      <c r="I572" s="542"/>
      <c r="J572" s="542"/>
      <c r="K572" s="542"/>
      <c r="L572" s="542"/>
      <c r="M572" s="542"/>
      <c r="N572" s="524"/>
      <c r="O572" s="524"/>
      <c r="P572" s="560"/>
      <c r="T572" s="529"/>
    </row>
    <row r="573" spans="4:20" s="502" customFormat="1" x14ac:dyDescent="0.2">
      <c r="D573" s="514"/>
      <c r="E573" s="542"/>
      <c r="F573" s="543"/>
      <c r="G573" s="543"/>
      <c r="H573" s="542"/>
      <c r="I573" s="542"/>
      <c r="J573" s="542"/>
      <c r="K573" s="542"/>
      <c r="L573" s="542"/>
      <c r="M573" s="542"/>
      <c r="N573" s="524"/>
      <c r="O573" s="524"/>
      <c r="P573" s="560"/>
      <c r="T573" s="529"/>
    </row>
    <row r="574" spans="4:20" s="502" customFormat="1" x14ac:dyDescent="0.2">
      <c r="D574" s="514"/>
      <c r="E574" s="542"/>
      <c r="F574" s="543"/>
      <c r="G574" s="543"/>
      <c r="H574" s="542"/>
      <c r="I574" s="542"/>
      <c r="J574" s="542"/>
      <c r="K574" s="542"/>
      <c r="L574" s="542"/>
      <c r="M574" s="542"/>
      <c r="N574" s="524"/>
      <c r="O574" s="524"/>
      <c r="P574" s="560"/>
      <c r="T574" s="529"/>
    </row>
    <row r="575" spans="4:20" s="502" customFormat="1" x14ac:dyDescent="0.2">
      <c r="D575" s="514"/>
      <c r="E575" s="542"/>
      <c r="F575" s="543"/>
      <c r="G575" s="543"/>
      <c r="H575" s="542"/>
      <c r="I575" s="542"/>
      <c r="J575" s="542"/>
      <c r="K575" s="542"/>
      <c r="L575" s="542"/>
      <c r="M575" s="542"/>
      <c r="N575" s="524"/>
      <c r="O575" s="524"/>
      <c r="P575" s="560"/>
      <c r="T575" s="529"/>
    </row>
    <row r="576" spans="4:20" s="502" customFormat="1" x14ac:dyDescent="0.2">
      <c r="D576" s="514"/>
      <c r="E576" s="542"/>
      <c r="F576" s="543"/>
      <c r="G576" s="543"/>
      <c r="H576" s="542"/>
      <c r="I576" s="542"/>
      <c r="J576" s="542"/>
      <c r="K576" s="542"/>
      <c r="L576" s="542"/>
      <c r="M576" s="542"/>
      <c r="N576" s="524"/>
      <c r="O576" s="524"/>
      <c r="P576" s="560"/>
      <c r="T576" s="529"/>
    </row>
    <row r="577" spans="4:20" s="502" customFormat="1" x14ac:dyDescent="0.2">
      <c r="D577" s="514"/>
      <c r="E577" s="542"/>
      <c r="F577" s="543"/>
      <c r="G577" s="543"/>
      <c r="H577" s="542"/>
      <c r="I577" s="542"/>
      <c r="J577" s="542"/>
      <c r="K577" s="542"/>
      <c r="L577" s="542"/>
      <c r="M577" s="542"/>
      <c r="N577" s="524"/>
      <c r="O577" s="524"/>
      <c r="P577" s="560"/>
      <c r="T577" s="529"/>
    </row>
    <row r="578" spans="4:20" s="502" customFormat="1" x14ac:dyDescent="0.2">
      <c r="D578" s="514"/>
      <c r="E578" s="542"/>
      <c r="F578" s="543"/>
      <c r="G578" s="543"/>
      <c r="H578" s="542"/>
      <c r="I578" s="542"/>
      <c r="J578" s="542"/>
      <c r="K578" s="542"/>
      <c r="L578" s="542"/>
      <c r="M578" s="542"/>
      <c r="N578" s="524"/>
      <c r="O578" s="524"/>
      <c r="P578" s="560"/>
      <c r="T578" s="529"/>
    </row>
    <row r="579" spans="4:20" s="502" customFormat="1" x14ac:dyDescent="0.2">
      <c r="D579" s="514"/>
      <c r="E579" s="542"/>
      <c r="F579" s="543"/>
      <c r="G579" s="543"/>
      <c r="H579" s="542"/>
      <c r="I579" s="542"/>
      <c r="J579" s="542"/>
      <c r="K579" s="542"/>
      <c r="L579" s="542"/>
      <c r="M579" s="542"/>
      <c r="N579" s="524"/>
      <c r="O579" s="524"/>
      <c r="P579" s="560"/>
      <c r="T579" s="529"/>
    </row>
    <row r="580" spans="4:20" s="502" customFormat="1" x14ac:dyDescent="0.2">
      <c r="D580" s="514"/>
      <c r="E580" s="542"/>
      <c r="F580" s="543"/>
      <c r="G580" s="543"/>
      <c r="H580" s="542"/>
      <c r="I580" s="542"/>
      <c r="J580" s="542"/>
      <c r="K580" s="542"/>
      <c r="L580" s="542"/>
      <c r="M580" s="542"/>
      <c r="N580" s="524"/>
      <c r="O580" s="524"/>
      <c r="P580" s="560"/>
      <c r="T580" s="529"/>
    </row>
    <row r="581" spans="4:20" s="502" customFormat="1" x14ac:dyDescent="0.2">
      <c r="D581" s="514"/>
      <c r="E581" s="542"/>
      <c r="F581" s="543"/>
      <c r="G581" s="543"/>
      <c r="H581" s="542"/>
      <c r="I581" s="542"/>
      <c r="J581" s="542"/>
      <c r="K581" s="542"/>
      <c r="L581" s="542"/>
      <c r="M581" s="542"/>
      <c r="N581" s="524"/>
      <c r="O581" s="524"/>
      <c r="P581" s="560"/>
      <c r="T581" s="529"/>
    </row>
    <row r="582" spans="4:20" s="502" customFormat="1" x14ac:dyDescent="0.2">
      <c r="D582" s="514"/>
      <c r="E582" s="542"/>
      <c r="F582" s="543"/>
      <c r="G582" s="543"/>
      <c r="H582" s="542"/>
      <c r="I582" s="542"/>
      <c r="J582" s="542"/>
      <c r="K582" s="542"/>
      <c r="L582" s="542"/>
      <c r="M582" s="542"/>
      <c r="N582" s="524"/>
      <c r="O582" s="524"/>
      <c r="P582" s="560"/>
      <c r="T582" s="529"/>
    </row>
    <row r="583" spans="4:20" s="502" customFormat="1" x14ac:dyDescent="0.2">
      <c r="D583" s="514"/>
      <c r="E583" s="542"/>
      <c r="F583" s="543"/>
      <c r="G583" s="543"/>
      <c r="H583" s="542"/>
      <c r="I583" s="542"/>
      <c r="J583" s="542"/>
      <c r="K583" s="542"/>
      <c r="L583" s="542"/>
      <c r="M583" s="542"/>
      <c r="N583" s="524"/>
      <c r="O583" s="524"/>
      <c r="P583" s="560"/>
      <c r="T583" s="529"/>
    </row>
    <row r="584" spans="4:20" s="502" customFormat="1" x14ac:dyDescent="0.2">
      <c r="D584" s="514"/>
      <c r="E584" s="542"/>
      <c r="F584" s="543"/>
      <c r="G584" s="543"/>
      <c r="H584" s="542"/>
      <c r="I584" s="542"/>
      <c r="J584" s="542"/>
      <c r="K584" s="542"/>
      <c r="L584" s="542"/>
      <c r="M584" s="542"/>
      <c r="N584" s="524"/>
      <c r="O584" s="524"/>
      <c r="P584" s="560"/>
      <c r="T584" s="529"/>
    </row>
    <row r="585" spans="4:20" s="502" customFormat="1" x14ac:dyDescent="0.2">
      <c r="D585" s="514"/>
      <c r="E585" s="542"/>
      <c r="F585" s="543"/>
      <c r="G585" s="543"/>
      <c r="H585" s="542"/>
      <c r="I585" s="542"/>
      <c r="J585" s="542"/>
      <c r="K585" s="542"/>
      <c r="L585" s="542"/>
      <c r="M585" s="542"/>
      <c r="N585" s="524"/>
      <c r="O585" s="524"/>
      <c r="P585" s="560"/>
      <c r="T585" s="529"/>
    </row>
    <row r="586" spans="4:20" s="502" customFormat="1" x14ac:dyDescent="0.2">
      <c r="D586" s="514"/>
      <c r="E586" s="542"/>
      <c r="F586" s="543"/>
      <c r="G586" s="543"/>
      <c r="H586" s="542"/>
      <c r="I586" s="542"/>
      <c r="J586" s="542"/>
      <c r="K586" s="542"/>
      <c r="L586" s="542"/>
      <c r="M586" s="542"/>
      <c r="N586" s="524"/>
      <c r="O586" s="524"/>
      <c r="P586" s="560"/>
      <c r="T586" s="529"/>
    </row>
    <row r="587" spans="4:20" s="502" customFormat="1" x14ac:dyDescent="0.2">
      <c r="D587" s="514"/>
      <c r="E587" s="542"/>
      <c r="F587" s="543"/>
      <c r="G587" s="543"/>
      <c r="H587" s="542"/>
      <c r="I587" s="542"/>
      <c r="J587" s="542"/>
      <c r="K587" s="542"/>
      <c r="L587" s="542"/>
      <c r="M587" s="542"/>
      <c r="N587" s="524"/>
      <c r="O587" s="524"/>
      <c r="P587" s="560"/>
      <c r="T587" s="529"/>
    </row>
    <row r="588" spans="4:20" s="502" customFormat="1" x14ac:dyDescent="0.2">
      <c r="D588" s="514"/>
      <c r="E588" s="542"/>
      <c r="F588" s="543"/>
      <c r="G588" s="543"/>
      <c r="H588" s="542"/>
      <c r="I588" s="542"/>
      <c r="J588" s="542"/>
      <c r="K588" s="542"/>
      <c r="L588" s="542"/>
      <c r="M588" s="542"/>
      <c r="N588" s="524"/>
      <c r="O588" s="524"/>
      <c r="P588" s="560"/>
      <c r="T588" s="529"/>
    </row>
    <row r="589" spans="4:20" s="502" customFormat="1" x14ac:dyDescent="0.2">
      <c r="D589" s="514"/>
      <c r="E589" s="542"/>
      <c r="F589" s="543"/>
      <c r="G589" s="543"/>
      <c r="H589" s="542"/>
      <c r="I589" s="542"/>
      <c r="J589" s="542"/>
      <c r="K589" s="542"/>
      <c r="L589" s="542"/>
      <c r="M589" s="542"/>
      <c r="N589" s="524"/>
      <c r="O589" s="524"/>
      <c r="P589" s="560"/>
      <c r="T589" s="529"/>
    </row>
    <row r="590" spans="4:20" s="502" customFormat="1" x14ac:dyDescent="0.2">
      <c r="D590" s="514"/>
      <c r="E590" s="542"/>
      <c r="F590" s="543"/>
      <c r="G590" s="543"/>
      <c r="H590" s="542"/>
      <c r="I590" s="542"/>
      <c r="J590" s="542"/>
      <c r="K590" s="542"/>
      <c r="L590" s="542"/>
      <c r="M590" s="542"/>
      <c r="N590" s="524"/>
      <c r="O590" s="524"/>
      <c r="P590" s="560"/>
      <c r="T590" s="529"/>
    </row>
    <row r="591" spans="4:20" s="502" customFormat="1" x14ac:dyDescent="0.2">
      <c r="D591" s="514"/>
      <c r="E591" s="542"/>
      <c r="F591" s="543"/>
      <c r="G591" s="543"/>
      <c r="H591" s="542"/>
      <c r="I591" s="542"/>
      <c r="J591" s="542"/>
      <c r="K591" s="542"/>
      <c r="L591" s="542"/>
      <c r="M591" s="542"/>
      <c r="N591" s="524"/>
      <c r="O591" s="524"/>
      <c r="P591" s="560"/>
      <c r="T591" s="529"/>
    </row>
    <row r="592" spans="4:20" s="502" customFormat="1" x14ac:dyDescent="0.2">
      <c r="D592" s="514"/>
      <c r="E592" s="542"/>
      <c r="F592" s="543"/>
      <c r="G592" s="543"/>
      <c r="H592" s="542"/>
      <c r="I592" s="542"/>
      <c r="J592" s="542"/>
      <c r="K592" s="542"/>
      <c r="L592" s="542"/>
      <c r="M592" s="542"/>
      <c r="N592" s="524"/>
      <c r="O592" s="524"/>
      <c r="P592" s="560"/>
      <c r="T592" s="529"/>
    </row>
    <row r="593" spans="4:20" s="502" customFormat="1" x14ac:dyDescent="0.2">
      <c r="D593" s="514"/>
      <c r="E593" s="542"/>
      <c r="F593" s="543"/>
      <c r="G593" s="543"/>
      <c r="H593" s="542"/>
      <c r="I593" s="542"/>
      <c r="J593" s="542"/>
      <c r="K593" s="542"/>
      <c r="L593" s="542"/>
      <c r="M593" s="542"/>
      <c r="N593" s="524"/>
      <c r="O593" s="524"/>
      <c r="P593" s="560"/>
      <c r="T593" s="529"/>
    </row>
    <row r="594" spans="4:20" s="502" customFormat="1" x14ac:dyDescent="0.2">
      <c r="D594" s="514"/>
      <c r="E594" s="542"/>
      <c r="F594" s="543"/>
      <c r="G594" s="543"/>
      <c r="H594" s="542"/>
      <c r="I594" s="542"/>
      <c r="J594" s="542"/>
      <c r="K594" s="542"/>
      <c r="L594" s="542"/>
      <c r="M594" s="542"/>
      <c r="N594" s="524"/>
      <c r="O594" s="524"/>
      <c r="P594" s="560"/>
      <c r="T594" s="529"/>
    </row>
    <row r="595" spans="4:20" s="502" customFormat="1" x14ac:dyDescent="0.2">
      <c r="D595" s="514"/>
      <c r="E595" s="542"/>
      <c r="F595" s="543"/>
      <c r="G595" s="543"/>
      <c r="H595" s="542"/>
      <c r="I595" s="542"/>
      <c r="J595" s="542"/>
      <c r="K595" s="542"/>
      <c r="L595" s="542"/>
      <c r="M595" s="542"/>
      <c r="N595" s="524"/>
      <c r="O595" s="524"/>
      <c r="P595" s="560"/>
      <c r="T595" s="529"/>
    </row>
    <row r="596" spans="4:20" s="502" customFormat="1" x14ac:dyDescent="0.2">
      <c r="D596" s="514"/>
      <c r="E596" s="542"/>
      <c r="F596" s="543"/>
      <c r="G596" s="543"/>
      <c r="H596" s="542"/>
      <c r="I596" s="542"/>
      <c r="J596" s="542"/>
      <c r="K596" s="542"/>
      <c r="L596" s="542"/>
      <c r="M596" s="542"/>
      <c r="N596" s="524"/>
      <c r="O596" s="524"/>
      <c r="P596" s="560"/>
      <c r="T596" s="529"/>
    </row>
    <row r="597" spans="4:20" s="502" customFormat="1" x14ac:dyDescent="0.2">
      <c r="D597" s="514"/>
      <c r="E597" s="542"/>
      <c r="F597" s="543"/>
      <c r="G597" s="543"/>
      <c r="H597" s="542"/>
      <c r="I597" s="542"/>
      <c r="J597" s="542"/>
      <c r="K597" s="542"/>
      <c r="L597" s="542"/>
      <c r="M597" s="542"/>
      <c r="N597" s="524"/>
      <c r="O597" s="524"/>
      <c r="P597" s="560"/>
      <c r="T597" s="529"/>
    </row>
    <row r="598" spans="4:20" s="502" customFormat="1" x14ac:dyDescent="0.2">
      <c r="D598" s="514"/>
      <c r="E598" s="542"/>
      <c r="F598" s="543"/>
      <c r="G598" s="543"/>
      <c r="H598" s="542"/>
      <c r="I598" s="542"/>
      <c r="J598" s="542"/>
      <c r="K598" s="542"/>
      <c r="L598" s="542"/>
      <c r="M598" s="542"/>
      <c r="N598" s="524"/>
      <c r="O598" s="524"/>
      <c r="P598" s="560"/>
      <c r="T598" s="529"/>
    </row>
    <row r="599" spans="4:20" s="502" customFormat="1" x14ac:dyDescent="0.2">
      <c r="D599" s="514"/>
      <c r="E599" s="542"/>
      <c r="F599" s="543"/>
      <c r="G599" s="543"/>
      <c r="H599" s="542"/>
      <c r="I599" s="542"/>
      <c r="J599" s="542"/>
      <c r="K599" s="542"/>
      <c r="L599" s="542"/>
      <c r="M599" s="542"/>
      <c r="N599" s="524"/>
      <c r="O599" s="524"/>
      <c r="P599" s="560"/>
      <c r="T599" s="529"/>
    </row>
    <row r="600" spans="4:20" s="502" customFormat="1" x14ac:dyDescent="0.2">
      <c r="D600" s="514"/>
      <c r="E600" s="542"/>
      <c r="F600" s="543"/>
      <c r="G600" s="543"/>
      <c r="H600" s="542"/>
      <c r="I600" s="542"/>
      <c r="J600" s="542"/>
      <c r="K600" s="542"/>
      <c r="L600" s="542"/>
      <c r="M600" s="542"/>
      <c r="N600" s="524"/>
      <c r="O600" s="524"/>
      <c r="P600" s="560"/>
      <c r="T600" s="529"/>
    </row>
    <row r="601" spans="4:20" s="502" customFormat="1" x14ac:dyDescent="0.2">
      <c r="D601" s="514"/>
      <c r="E601" s="542"/>
      <c r="F601" s="543"/>
      <c r="G601" s="543"/>
      <c r="H601" s="542"/>
      <c r="I601" s="542"/>
      <c r="J601" s="542"/>
      <c r="K601" s="542"/>
      <c r="L601" s="542"/>
      <c r="M601" s="542"/>
      <c r="N601" s="524"/>
      <c r="O601" s="524"/>
      <c r="P601" s="560"/>
      <c r="T601" s="529"/>
    </row>
    <row r="602" spans="4:20" s="502" customFormat="1" x14ac:dyDescent="0.2">
      <c r="D602" s="514"/>
      <c r="E602" s="542"/>
      <c r="F602" s="543"/>
      <c r="G602" s="543"/>
      <c r="H602" s="542"/>
      <c r="I602" s="542"/>
      <c r="J602" s="542"/>
      <c r="K602" s="542"/>
      <c r="L602" s="542"/>
      <c r="M602" s="542"/>
      <c r="N602" s="524"/>
      <c r="O602" s="524"/>
      <c r="P602" s="560"/>
      <c r="T602" s="529"/>
    </row>
  </sheetData>
  <mergeCells count="154">
    <mergeCell ref="H8:H13"/>
    <mergeCell ref="I8:I13"/>
    <mergeCell ref="J8:J13"/>
    <mergeCell ref="K8:K13"/>
    <mergeCell ref="L8:L13"/>
    <mergeCell ref="H2:H7"/>
    <mergeCell ref="I2:I7"/>
    <mergeCell ref="J2:J7"/>
    <mergeCell ref="K2:K7"/>
    <mergeCell ref="L2:L7"/>
    <mergeCell ref="M8:M13"/>
    <mergeCell ref="N8:N13"/>
    <mergeCell ref="O8:O13"/>
    <mergeCell ref="P8:P13"/>
    <mergeCell ref="Q8:Q13"/>
    <mergeCell ref="R8:R13"/>
    <mergeCell ref="N2:N7"/>
    <mergeCell ref="O2:O7"/>
    <mergeCell ref="P2:P7"/>
    <mergeCell ref="Q2:Q7"/>
    <mergeCell ref="R2:R7"/>
    <mergeCell ref="M2:M7"/>
    <mergeCell ref="H20:H25"/>
    <mergeCell ref="I20:I25"/>
    <mergeCell ref="J20:J25"/>
    <mergeCell ref="K20:K25"/>
    <mergeCell ref="L20:L25"/>
    <mergeCell ref="H14:H19"/>
    <mergeCell ref="I14:I19"/>
    <mergeCell ref="J14:J19"/>
    <mergeCell ref="K14:K19"/>
    <mergeCell ref="L14:L19"/>
    <mergeCell ref="M20:M25"/>
    <mergeCell ref="N20:N25"/>
    <mergeCell ref="O20:O25"/>
    <mergeCell ref="P20:P25"/>
    <mergeCell ref="Q20:Q25"/>
    <mergeCell ref="R20:R25"/>
    <mergeCell ref="N14:N19"/>
    <mergeCell ref="O14:O19"/>
    <mergeCell ref="P14:P19"/>
    <mergeCell ref="Q14:Q19"/>
    <mergeCell ref="R14:R19"/>
    <mergeCell ref="M14:M19"/>
    <mergeCell ref="H32:H37"/>
    <mergeCell ref="I32:I37"/>
    <mergeCell ref="J32:J37"/>
    <mergeCell ref="K32:K37"/>
    <mergeCell ref="L32:L37"/>
    <mergeCell ref="H26:H31"/>
    <mergeCell ref="I26:I31"/>
    <mergeCell ref="J26:J31"/>
    <mergeCell ref="K26:K31"/>
    <mergeCell ref="L26:L31"/>
    <mergeCell ref="M32:M37"/>
    <mergeCell ref="N32:N37"/>
    <mergeCell ref="O32:O37"/>
    <mergeCell ref="P32:P37"/>
    <mergeCell ref="Q32:Q37"/>
    <mergeCell ref="R32:R37"/>
    <mergeCell ref="N26:N31"/>
    <mergeCell ref="O26:O31"/>
    <mergeCell ref="P26:P31"/>
    <mergeCell ref="Q26:Q31"/>
    <mergeCell ref="R26:R31"/>
    <mergeCell ref="M26:M31"/>
    <mergeCell ref="H44:H49"/>
    <mergeCell ref="I44:I49"/>
    <mergeCell ref="J44:J49"/>
    <mergeCell ref="K44:K49"/>
    <mergeCell ref="L44:L49"/>
    <mergeCell ref="H38:H43"/>
    <mergeCell ref="I38:I43"/>
    <mergeCell ref="J38:J43"/>
    <mergeCell ref="K38:K43"/>
    <mergeCell ref="L38:L43"/>
    <mergeCell ref="M44:M49"/>
    <mergeCell ref="N44:N49"/>
    <mergeCell ref="O44:O49"/>
    <mergeCell ref="P44:P49"/>
    <mergeCell ref="Q44:Q49"/>
    <mergeCell ref="R44:R49"/>
    <mergeCell ref="N38:N43"/>
    <mergeCell ref="O38:O43"/>
    <mergeCell ref="P38:P43"/>
    <mergeCell ref="Q38:Q43"/>
    <mergeCell ref="R38:R43"/>
    <mergeCell ref="M38:M43"/>
    <mergeCell ref="H56:H61"/>
    <mergeCell ref="I56:I61"/>
    <mergeCell ref="J56:J61"/>
    <mergeCell ref="K56:K61"/>
    <mergeCell ref="L56:L61"/>
    <mergeCell ref="H50:H55"/>
    <mergeCell ref="I50:I55"/>
    <mergeCell ref="J50:J55"/>
    <mergeCell ref="K50:K55"/>
    <mergeCell ref="L50:L55"/>
    <mergeCell ref="M56:M61"/>
    <mergeCell ref="N56:N61"/>
    <mergeCell ref="O56:O61"/>
    <mergeCell ref="P56:P61"/>
    <mergeCell ref="Q56:Q61"/>
    <mergeCell ref="R56:R61"/>
    <mergeCell ref="N50:N55"/>
    <mergeCell ref="O50:O55"/>
    <mergeCell ref="P50:P55"/>
    <mergeCell ref="Q50:Q55"/>
    <mergeCell ref="R50:R55"/>
    <mergeCell ref="M50:M55"/>
    <mergeCell ref="H68:H73"/>
    <mergeCell ref="I68:I73"/>
    <mergeCell ref="J68:J73"/>
    <mergeCell ref="K68:K73"/>
    <mergeCell ref="L68:L73"/>
    <mergeCell ref="H62:H67"/>
    <mergeCell ref="I62:I67"/>
    <mergeCell ref="J62:J67"/>
    <mergeCell ref="K62:K67"/>
    <mergeCell ref="L62:L67"/>
    <mergeCell ref="M68:M73"/>
    <mergeCell ref="N68:N73"/>
    <mergeCell ref="O68:O73"/>
    <mergeCell ref="P68:P73"/>
    <mergeCell ref="Q68:Q73"/>
    <mergeCell ref="R68:R73"/>
    <mergeCell ref="N62:N67"/>
    <mergeCell ref="O62:O67"/>
    <mergeCell ref="P62:P67"/>
    <mergeCell ref="Q62:Q67"/>
    <mergeCell ref="R62:R67"/>
    <mergeCell ref="M62:M67"/>
    <mergeCell ref="H80:H85"/>
    <mergeCell ref="I80:I85"/>
    <mergeCell ref="J80:J85"/>
    <mergeCell ref="K80:K85"/>
    <mergeCell ref="L80:L85"/>
    <mergeCell ref="H74:H79"/>
    <mergeCell ref="I74:I79"/>
    <mergeCell ref="J74:J79"/>
    <mergeCell ref="K74:K79"/>
    <mergeCell ref="L74:L79"/>
    <mergeCell ref="M80:M85"/>
    <mergeCell ref="N80:N85"/>
    <mergeCell ref="O80:O85"/>
    <mergeCell ref="P80:P85"/>
    <mergeCell ref="Q80:Q85"/>
    <mergeCell ref="R80:R85"/>
    <mergeCell ref="N74:N79"/>
    <mergeCell ref="O74:O79"/>
    <mergeCell ref="P74:P79"/>
    <mergeCell ref="Q74:Q79"/>
    <mergeCell ref="R74:R79"/>
    <mergeCell ref="M74:M79"/>
  </mergeCells>
  <conditionalFormatting sqref="E1:E1048576">
    <cfRule type="containsErrors" dxfId="7" priority="1">
      <formula>ISERROR(E1)</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3"/>
    <pageSetUpPr fitToPage="1"/>
  </sheetPr>
  <dimension ref="A1:Y172"/>
  <sheetViews>
    <sheetView topLeftCell="A8" zoomScale="85" zoomScaleNormal="85" workbookViewId="0">
      <selection activeCell="B9" sqref="B9:D19"/>
    </sheetView>
  </sheetViews>
  <sheetFormatPr baseColWidth="10" defaultColWidth="8.83203125" defaultRowHeight="15" x14ac:dyDescent="0.2"/>
  <cols>
    <col min="1" max="2" width="18.5" style="502" customWidth="1"/>
    <col min="3" max="3" width="34.83203125" style="502" bestFit="1" customWidth="1"/>
    <col min="4" max="4" width="34.83203125" style="502" customWidth="1"/>
    <col min="5" max="5" width="50.6640625" style="502" hidden="1" customWidth="1"/>
    <col min="6" max="6" width="10.83203125" style="601" customWidth="1"/>
    <col min="7" max="7" width="9.1640625" style="537"/>
    <col min="8" max="8" width="11" style="601" customWidth="1"/>
    <col min="9" max="9" width="10.6640625" style="537" customWidth="1"/>
    <col min="10" max="10" width="11.83203125" style="601" customWidth="1"/>
    <col min="11" max="11" width="9.1640625" style="537"/>
    <col min="12" max="12" width="12" style="601" customWidth="1"/>
    <col min="13" max="13" width="11" style="537" customWidth="1"/>
    <col min="14" max="14" width="10.83203125" style="605" hidden="1" customWidth="1"/>
    <col min="15" max="15" width="10.1640625" style="537" hidden="1" customWidth="1"/>
    <col min="16" max="16" width="11.6640625" style="502" customWidth="1"/>
    <col min="17" max="17" width="39.33203125" style="502" customWidth="1"/>
    <col min="18" max="20" width="8.83203125" style="502"/>
    <col min="21" max="21" width="9.6640625" style="502" bestFit="1" customWidth="1"/>
    <col min="22" max="22" width="8.83203125" style="502"/>
    <col min="23" max="23" width="10.6640625" style="502" bestFit="1" customWidth="1"/>
    <col min="24" max="24" width="8.83203125" style="502"/>
    <col min="25" max="25" width="10.6640625" style="502" bestFit="1" customWidth="1"/>
    <col min="26" max="16384" width="8.83203125" style="502"/>
  </cols>
  <sheetData>
    <row r="1" spans="1:25" ht="30" customHeight="1" x14ac:dyDescent="0.2">
      <c r="A1" s="505" t="s">
        <v>3</v>
      </c>
      <c r="C1" s="600">
        <f>'Base Information Sheet'!B3</f>
        <v>0</v>
      </c>
      <c r="R1" s="504"/>
    </row>
    <row r="2" spans="1:25" ht="31.5" customHeight="1" x14ac:dyDescent="0.2">
      <c r="A2" s="505" t="s">
        <v>4</v>
      </c>
      <c r="C2" s="600">
        <f>'Base Information Sheet'!B5</f>
        <v>0</v>
      </c>
      <c r="F2" s="879" t="s">
        <v>2063</v>
      </c>
      <c r="G2" s="879"/>
      <c r="H2" s="879"/>
      <c r="I2" s="879"/>
      <c r="J2" s="879"/>
      <c r="K2" s="879"/>
      <c r="L2" s="879"/>
    </row>
    <row r="3" spans="1:25" x14ac:dyDescent="0.2">
      <c r="A3" s="505" t="s">
        <v>5</v>
      </c>
      <c r="C3" s="603">
        <f>'Base Information Sheet'!B7</f>
        <v>0</v>
      </c>
      <c r="E3" s="505"/>
      <c r="F3" s="879"/>
      <c r="G3" s="879"/>
      <c r="H3" s="879"/>
      <c r="I3" s="879"/>
      <c r="J3" s="879"/>
      <c r="K3" s="879"/>
      <c r="L3" s="879"/>
    </row>
    <row r="4" spans="1:25" x14ac:dyDescent="0.2">
      <c r="A4" s="505" t="s">
        <v>6</v>
      </c>
      <c r="C4" s="697">
        <f>'Base Information Sheet'!B9</f>
        <v>0</v>
      </c>
      <c r="F4" s="879"/>
      <c r="G4" s="879"/>
      <c r="H4" s="879"/>
      <c r="I4" s="879"/>
      <c r="J4" s="879"/>
      <c r="K4" s="879"/>
      <c r="L4" s="879"/>
    </row>
    <row r="6" spans="1:25" x14ac:dyDescent="0.2">
      <c r="A6"/>
      <c r="B6"/>
      <c r="C6"/>
      <c r="D6"/>
      <c r="E6"/>
      <c r="F6" s="43" t="s">
        <v>35</v>
      </c>
      <c r="G6" s="19"/>
      <c r="H6" s="49"/>
      <c r="I6" s="19"/>
      <c r="J6" s="49"/>
      <c r="K6" s="19"/>
      <c r="L6" s="49"/>
      <c r="M6" s="20"/>
      <c r="N6" s="29"/>
      <c r="O6" s="3"/>
    </row>
    <row r="7" spans="1:25" ht="49.5" customHeight="1" x14ac:dyDescent="0.2">
      <c r="A7" s="8" t="s">
        <v>36</v>
      </c>
      <c r="B7" s="8" t="s">
        <v>37</v>
      </c>
      <c r="C7" s="8" t="s">
        <v>38</v>
      </c>
      <c r="D7" s="9" t="s">
        <v>39</v>
      </c>
      <c r="E7" s="9" t="s">
        <v>2025</v>
      </c>
      <c r="F7" s="44"/>
      <c r="G7" s="10" t="s">
        <v>42</v>
      </c>
      <c r="H7" s="44"/>
      <c r="I7" s="10" t="s">
        <v>43</v>
      </c>
      <c r="J7" s="44"/>
      <c r="K7" s="10" t="s">
        <v>44</v>
      </c>
      <c r="L7" s="44"/>
      <c r="M7" s="9" t="s">
        <v>45</v>
      </c>
      <c r="N7" s="44"/>
      <c r="O7" s="9" t="s">
        <v>46</v>
      </c>
      <c r="P7" s="50" t="s">
        <v>891</v>
      </c>
      <c r="Q7" s="11" t="s">
        <v>892</v>
      </c>
    </row>
    <row r="8" spans="1:25" x14ac:dyDescent="0.2">
      <c r="A8" s="14" t="s">
        <v>66</v>
      </c>
      <c r="B8" s="15"/>
      <c r="C8" s="15"/>
      <c r="D8" s="15"/>
      <c r="E8" s="15"/>
      <c r="F8" s="45"/>
      <c r="G8" s="17"/>
      <c r="H8" s="45"/>
      <c r="I8" s="17"/>
      <c r="J8" s="45"/>
      <c r="K8" s="17"/>
      <c r="L8" s="45"/>
      <c r="M8" s="17"/>
      <c r="N8" s="45"/>
      <c r="O8" s="17"/>
      <c r="P8" s="51"/>
      <c r="Q8" s="17"/>
    </row>
    <row r="9" spans="1:25" ht="16" thickBot="1" x14ac:dyDescent="0.25">
      <c r="A9" s="545" t="s">
        <v>66</v>
      </c>
      <c r="B9" s="7" t="s">
        <v>67</v>
      </c>
      <c r="C9"/>
      <c r="D9"/>
      <c r="E9"/>
      <c r="F9" s="42"/>
      <c r="G9" s="3"/>
      <c r="H9" s="42"/>
      <c r="I9" s="3"/>
      <c r="J9" s="42"/>
      <c r="K9" s="3"/>
      <c r="L9" s="42"/>
      <c r="M9" s="3"/>
      <c r="N9" s="42"/>
      <c r="O9" s="3"/>
      <c r="P9" s="29"/>
      <c r="Q9" s="3"/>
    </row>
    <row r="10" spans="1:25" ht="16" thickBot="1" x14ac:dyDescent="0.25">
      <c r="A10" s="545" t="s">
        <v>66</v>
      </c>
      <c r="B10" s="546" t="s">
        <v>67</v>
      </c>
      <c r="C10" t="s">
        <v>68</v>
      </c>
      <c r="D10" t="s">
        <v>893</v>
      </c>
      <c r="E10" t="str">
        <f t="shared" ref="E10:E15" si="0">C10&amp;"_"&amp;D10</f>
        <v>A1010 Standard Foundations_blank</v>
      </c>
      <c r="F10" s="46">
        <v>0.65490000000000004</v>
      </c>
      <c r="G10" s="3"/>
      <c r="H10" s="46">
        <v>13.098000000000001</v>
      </c>
      <c r="I10" s="3"/>
      <c r="J10" s="46">
        <v>36.255263999999997</v>
      </c>
      <c r="K10" s="3"/>
      <c r="L10" s="47">
        <v>0</v>
      </c>
      <c r="M10" s="3" t="s">
        <v>52</v>
      </c>
      <c r="N10" s="47"/>
      <c r="O10" s="3" t="s">
        <v>52</v>
      </c>
      <c r="P10" s="52">
        <f>SUMIF('Physical Condition Assessment'!H10:N10,"X",'PCA Cost Tables - READ ONLY'!F10:L10)</f>
        <v>0</v>
      </c>
      <c r="Q10" s="4"/>
      <c r="S10" s="599"/>
      <c r="U10" s="599"/>
      <c r="W10" s="599"/>
      <c r="Y10" s="599"/>
    </row>
    <row r="11" spans="1:25" ht="16" thickBot="1" x14ac:dyDescent="0.25">
      <c r="A11" s="545" t="s">
        <v>66</v>
      </c>
      <c r="B11" s="546" t="s">
        <v>67</v>
      </c>
      <c r="C11" t="s">
        <v>73</v>
      </c>
      <c r="D11" t="s">
        <v>893</v>
      </c>
      <c r="E11" t="str">
        <f t="shared" si="0"/>
        <v>A1020 Special Foundations_blank</v>
      </c>
      <c r="F11" s="46">
        <v>0.65490000000000004</v>
      </c>
      <c r="G11" s="3"/>
      <c r="H11" s="46">
        <v>19.647000000000002</v>
      </c>
      <c r="I11" s="3"/>
      <c r="J11" s="46">
        <v>46.209744000000001</v>
      </c>
      <c r="K11" s="3"/>
      <c r="L11" s="47">
        <v>0</v>
      </c>
      <c r="M11" s="3" t="s">
        <v>52</v>
      </c>
      <c r="N11" s="47"/>
      <c r="O11" s="3" t="s">
        <v>52</v>
      </c>
      <c r="P11" s="52">
        <f>SUMIF('Physical Condition Assessment'!H11:N11,"X",'PCA Cost Tables - READ ONLY'!F11:L11)</f>
        <v>0</v>
      </c>
      <c r="Q11" s="4"/>
      <c r="S11" s="599"/>
      <c r="U11" s="599"/>
      <c r="W11" s="599"/>
      <c r="Y11" s="599"/>
    </row>
    <row r="12" spans="1:25" ht="16" thickBot="1" x14ac:dyDescent="0.25">
      <c r="A12" s="545" t="s">
        <v>66</v>
      </c>
      <c r="B12" s="546" t="s">
        <v>67</v>
      </c>
      <c r="C12" t="s">
        <v>75</v>
      </c>
      <c r="D12" t="s">
        <v>893</v>
      </c>
      <c r="E12" t="str">
        <f t="shared" si="0"/>
        <v>A1030 Slab on Grade_blank</v>
      </c>
      <c r="F12" s="46">
        <v>2.7898739999999997</v>
      </c>
      <c r="G12" s="3"/>
      <c r="H12" s="46">
        <v>12.443100000000001</v>
      </c>
      <c r="I12" s="3"/>
      <c r="J12" s="46">
        <v>34.709699999999998</v>
      </c>
      <c r="K12" s="3"/>
      <c r="L12" s="47">
        <v>0</v>
      </c>
      <c r="M12" s="3" t="s">
        <v>52</v>
      </c>
      <c r="N12" s="47"/>
      <c r="O12" s="3" t="s">
        <v>52</v>
      </c>
      <c r="P12" s="52">
        <f>SUMIF('Physical Condition Assessment'!H12:N12,"X",'PCA Cost Tables - READ ONLY'!F12:L12)</f>
        <v>0</v>
      </c>
      <c r="Q12" s="4"/>
      <c r="S12" s="599"/>
      <c r="U12" s="599"/>
      <c r="W12" s="599"/>
      <c r="Y12" s="599"/>
    </row>
    <row r="13" spans="1:25" ht="16" thickBot="1" x14ac:dyDescent="0.25">
      <c r="A13" s="545" t="s">
        <v>66</v>
      </c>
      <c r="B13" s="546" t="s">
        <v>894</v>
      </c>
      <c r="C13" t="s">
        <v>75</v>
      </c>
      <c r="D13" t="s">
        <v>893</v>
      </c>
      <c r="E13" t="str">
        <f t="shared" si="0"/>
        <v>A1030 Slab on Grade_blank</v>
      </c>
      <c r="F13" s="67"/>
      <c r="G13" s="3"/>
      <c r="H13" s="42"/>
      <c r="I13" s="3"/>
      <c r="J13" s="68"/>
      <c r="K13" s="3"/>
      <c r="L13" s="42"/>
      <c r="M13" s="3"/>
      <c r="N13" s="42"/>
      <c r="O13" s="3"/>
      <c r="P13" s="53"/>
      <c r="Q13" s="3"/>
      <c r="S13" s="599"/>
      <c r="U13" s="599"/>
      <c r="W13" s="599"/>
      <c r="Y13" s="599"/>
    </row>
    <row r="14" spans="1:25" ht="16" hidden="1" thickBot="1" x14ac:dyDescent="0.25">
      <c r="A14" s="545" t="s">
        <v>66</v>
      </c>
      <c r="B14" s="546" t="s">
        <v>894</v>
      </c>
      <c r="C14" t="s">
        <v>77</v>
      </c>
      <c r="D14" t="s">
        <v>893</v>
      </c>
      <c r="E14" t="str">
        <f t="shared" si="0"/>
        <v>A2010 Basement Excavation_blank</v>
      </c>
      <c r="F14" s="47"/>
      <c r="G14" s="3"/>
      <c r="H14" s="47"/>
      <c r="I14" s="3"/>
      <c r="J14" s="47"/>
      <c r="K14" s="3"/>
      <c r="L14" s="47"/>
      <c r="M14" s="3" t="s">
        <v>52</v>
      </c>
      <c r="N14" s="47"/>
      <c r="O14" s="3" t="s">
        <v>52</v>
      </c>
      <c r="P14" s="52">
        <f>SUMIF('Physical Condition Assessment'!H14:N14,"X",'PCA Cost Tables - READ ONLY'!F14:L14)</f>
        <v>0</v>
      </c>
      <c r="Q14" s="33"/>
      <c r="S14" s="599"/>
      <c r="U14" s="599"/>
      <c r="W14" s="599"/>
      <c r="Y14" s="599"/>
    </row>
    <row r="15" spans="1:25" ht="16" thickBot="1" x14ac:dyDescent="0.25">
      <c r="A15" s="545" t="s">
        <v>66</v>
      </c>
      <c r="B15" s="546" t="s">
        <v>894</v>
      </c>
      <c r="C15" t="s">
        <v>79</v>
      </c>
      <c r="D15" t="s">
        <v>893</v>
      </c>
      <c r="E15" t="str">
        <f t="shared" si="0"/>
        <v>A2020 Basement Walls_blank</v>
      </c>
      <c r="F15" s="46">
        <v>0.87756600000000007</v>
      </c>
      <c r="G15" s="3"/>
      <c r="H15" s="46">
        <v>2.7898739999999997</v>
      </c>
      <c r="I15" s="3"/>
      <c r="J15" s="46">
        <v>11.735808000000002</v>
      </c>
      <c r="K15" s="3"/>
      <c r="L15" s="47">
        <v>0</v>
      </c>
      <c r="M15" s="3" t="s">
        <v>52</v>
      </c>
      <c r="N15" s="47"/>
      <c r="O15" s="3" t="s">
        <v>52</v>
      </c>
      <c r="P15" s="52">
        <f>SUMIF('Physical Condition Assessment'!H15:N15,"X",'PCA Cost Tables - READ ONLY'!F15:L15)</f>
        <v>0</v>
      </c>
      <c r="Q15" s="4"/>
      <c r="S15" s="599"/>
      <c r="U15" s="599"/>
      <c r="W15" s="599"/>
      <c r="Y15" s="599"/>
    </row>
    <row r="16" spans="1:25" x14ac:dyDescent="0.2">
      <c r="A16" s="14" t="s">
        <v>27</v>
      </c>
      <c r="B16" s="18"/>
      <c r="C16" s="15"/>
      <c r="D16" s="15"/>
      <c r="E16" s="15"/>
      <c r="F16" s="45"/>
      <c r="G16" s="17"/>
      <c r="H16" s="45"/>
      <c r="I16" s="17"/>
      <c r="J16" s="45"/>
      <c r="K16" s="17"/>
      <c r="L16" s="45"/>
      <c r="M16" s="17"/>
      <c r="N16" s="45"/>
      <c r="O16" s="17"/>
      <c r="P16" s="54"/>
      <c r="Q16" s="17"/>
      <c r="S16" s="599"/>
      <c r="U16" s="599"/>
      <c r="W16" s="599"/>
      <c r="Y16" s="599"/>
    </row>
    <row r="17" spans="1:25" ht="16" thickBot="1" x14ac:dyDescent="0.25">
      <c r="A17" s="6"/>
      <c r="B17" s="7"/>
      <c r="C17"/>
      <c r="D17"/>
      <c r="E17"/>
      <c r="F17" s="42"/>
      <c r="G17" s="3"/>
      <c r="H17" s="42"/>
      <c r="I17" s="3"/>
      <c r="J17" s="42"/>
      <c r="K17" s="3"/>
      <c r="L17" s="42"/>
      <c r="M17" s="3"/>
      <c r="N17" s="42"/>
      <c r="O17" s="3"/>
      <c r="P17" s="53"/>
      <c r="Q17" s="3"/>
      <c r="S17" s="599"/>
      <c r="U17" s="599"/>
      <c r="W17" s="599"/>
      <c r="Y17" s="599"/>
    </row>
    <row r="18" spans="1:25" ht="16" thickBot="1" x14ac:dyDescent="0.25">
      <c r="A18" s="545" t="s">
        <v>27</v>
      </c>
      <c r="B18" s="7" t="s">
        <v>81</v>
      </c>
      <c r="C18" t="s">
        <v>82</v>
      </c>
      <c r="D18" s="3" t="s">
        <v>83</v>
      </c>
      <c r="E18" s="3" t="str">
        <f t="shared" ref="E18:E23" si="1">C18&amp;"_"&amp;D18</f>
        <v>B1010 Floor Construction_Wood</v>
      </c>
      <c r="F18" s="46">
        <v>5.3624999999999998</v>
      </c>
      <c r="G18" s="3"/>
      <c r="H18" s="46">
        <v>12.012</v>
      </c>
      <c r="I18" s="3"/>
      <c r="J18" s="46">
        <v>76.862499999999997</v>
      </c>
      <c r="K18" s="3"/>
      <c r="L18" s="46">
        <v>201.98749999999998</v>
      </c>
      <c r="M18" s="3" t="s">
        <v>52</v>
      </c>
      <c r="N18" s="46">
        <v>113</v>
      </c>
      <c r="O18" s="3" t="s">
        <v>52</v>
      </c>
      <c r="P18" s="52">
        <f>SUMIF('Physical Condition Assessment'!H18:N18,"X",'PCA Cost Tables - READ ONLY'!F18:L18)</f>
        <v>0</v>
      </c>
      <c r="Q18" s="4"/>
      <c r="S18" s="599"/>
      <c r="U18" s="599"/>
      <c r="W18" s="599"/>
      <c r="Y18" s="599"/>
    </row>
    <row r="19" spans="1:25" ht="16" thickBot="1" x14ac:dyDescent="0.25">
      <c r="A19" s="545" t="s">
        <v>27</v>
      </c>
      <c r="B19" s="546" t="s">
        <v>81</v>
      </c>
      <c r="C19" t="s">
        <v>82</v>
      </c>
      <c r="D19" s="3" t="s">
        <v>86</v>
      </c>
      <c r="E19" s="3" t="str">
        <f t="shared" si="1"/>
        <v>B1010 Floor Construction_Steel</v>
      </c>
      <c r="F19" s="46">
        <v>7.7934999999999999</v>
      </c>
      <c r="G19" s="3"/>
      <c r="H19" s="46">
        <v>15.315300000000001</v>
      </c>
      <c r="I19" s="3"/>
      <c r="J19" s="46">
        <v>81.324099999999987</v>
      </c>
      <c r="K19" s="3"/>
      <c r="L19" s="46">
        <v>202.44509999999997</v>
      </c>
      <c r="M19" s="3" t="s">
        <v>52</v>
      </c>
      <c r="N19" s="46">
        <v>117</v>
      </c>
      <c r="O19" s="3" t="s">
        <v>52</v>
      </c>
      <c r="P19" s="52">
        <f>SUMIF('Physical Condition Assessment'!H19:N19,"X",'PCA Cost Tables - READ ONLY'!F19:L19)</f>
        <v>0</v>
      </c>
      <c r="Q19" s="4"/>
      <c r="S19" s="599"/>
      <c r="U19" s="599"/>
      <c r="W19" s="599"/>
      <c r="Y19" s="599"/>
    </row>
    <row r="20" spans="1:25" ht="16" thickBot="1" x14ac:dyDescent="0.25">
      <c r="A20" s="545" t="s">
        <v>27</v>
      </c>
      <c r="B20" s="546" t="s">
        <v>81</v>
      </c>
      <c r="C20" t="s">
        <v>82</v>
      </c>
      <c r="D20" s="3" t="s">
        <v>88</v>
      </c>
      <c r="E20" s="3" t="str">
        <f t="shared" si="1"/>
        <v>B1010 Floor Construction_Concrete</v>
      </c>
      <c r="F20" s="46">
        <v>9.1685999999999996</v>
      </c>
      <c r="G20" s="3"/>
      <c r="H20" s="46">
        <v>18.337199999999999</v>
      </c>
      <c r="I20" s="3"/>
      <c r="J20" s="46">
        <v>69.419399999999996</v>
      </c>
      <c r="K20" s="3"/>
      <c r="L20" s="46">
        <v>161.1054</v>
      </c>
      <c r="M20" s="3" t="s">
        <v>52</v>
      </c>
      <c r="N20" s="46">
        <v>123</v>
      </c>
      <c r="O20" s="3" t="s">
        <v>52</v>
      </c>
      <c r="P20" s="52">
        <f>SUMIF('Physical Condition Assessment'!H20:N20,"X",'PCA Cost Tables - READ ONLY'!F20:L20)</f>
        <v>0</v>
      </c>
      <c r="Q20" s="4"/>
      <c r="S20" s="599"/>
      <c r="U20" s="599"/>
      <c r="W20" s="599"/>
      <c r="Y20" s="599"/>
    </row>
    <row r="21" spans="1:25" ht="16" thickBot="1" x14ac:dyDescent="0.25">
      <c r="A21" s="545" t="s">
        <v>27</v>
      </c>
      <c r="B21" s="546" t="s">
        <v>81</v>
      </c>
      <c r="C21" t="s">
        <v>91</v>
      </c>
      <c r="D21" s="3" t="s">
        <v>83</v>
      </c>
      <c r="E21" s="3" t="str">
        <f t="shared" si="1"/>
        <v>B1020 Roof Construction_Wood</v>
      </c>
      <c r="F21" s="46">
        <v>5.8093750000000002</v>
      </c>
      <c r="G21" s="3"/>
      <c r="H21" s="46">
        <v>13.620749999999999</v>
      </c>
      <c r="I21" s="3"/>
      <c r="J21" s="46">
        <v>58.987499999999997</v>
      </c>
      <c r="K21" s="3"/>
      <c r="L21" s="46">
        <v>157.29999999999998</v>
      </c>
      <c r="M21" s="3" t="s">
        <v>52</v>
      </c>
      <c r="N21" s="46">
        <v>88</v>
      </c>
      <c r="O21" s="3" t="s">
        <v>52</v>
      </c>
      <c r="P21" s="52">
        <f>SUMIF('Physical Condition Assessment'!H21:N21,"X",'PCA Cost Tables - READ ONLY'!F21:L21)</f>
        <v>0</v>
      </c>
      <c r="Q21" s="4"/>
      <c r="S21" s="599"/>
      <c r="U21" s="599"/>
      <c r="W21" s="599"/>
      <c r="Y21" s="599"/>
    </row>
    <row r="22" spans="1:25" ht="16" thickBot="1" x14ac:dyDescent="0.25">
      <c r="A22" s="545" t="s">
        <v>27</v>
      </c>
      <c r="B22" s="546" t="s">
        <v>81</v>
      </c>
      <c r="C22" t="s">
        <v>91</v>
      </c>
      <c r="D22" s="3" t="s">
        <v>86</v>
      </c>
      <c r="E22" s="3" t="str">
        <f t="shared" si="1"/>
        <v>B1020 Roof Construction_Steel</v>
      </c>
      <c r="F22" s="46">
        <v>8.4548750000000013</v>
      </c>
      <c r="G22" s="3"/>
      <c r="H22" s="46">
        <v>16.820374999999999</v>
      </c>
      <c r="I22" s="3"/>
      <c r="J22" s="46">
        <v>66.137500000000003</v>
      </c>
      <c r="K22" s="3"/>
      <c r="L22" s="46">
        <v>164.45</v>
      </c>
      <c r="M22" s="3" t="s">
        <v>52</v>
      </c>
      <c r="N22" s="46">
        <v>92</v>
      </c>
      <c r="O22" s="3" t="s">
        <v>52</v>
      </c>
      <c r="P22" s="52">
        <f>SUMIF('Physical Condition Assessment'!H22:N22,"X",'PCA Cost Tables - READ ONLY'!F22:L22)</f>
        <v>0</v>
      </c>
      <c r="Q22" s="4"/>
      <c r="S22" s="599"/>
      <c r="U22" s="599"/>
      <c r="W22" s="599"/>
      <c r="Y22" s="599"/>
    </row>
    <row r="23" spans="1:25" ht="16" thickBot="1" x14ac:dyDescent="0.25">
      <c r="A23" s="545" t="s">
        <v>27</v>
      </c>
      <c r="B23" s="546" t="s">
        <v>81</v>
      </c>
      <c r="C23" t="s">
        <v>91</v>
      </c>
      <c r="D23" s="3" t="s">
        <v>88</v>
      </c>
      <c r="E23" s="3" t="str">
        <f t="shared" si="1"/>
        <v>B1020 Roof Construction_Concrete</v>
      </c>
      <c r="F23" s="46">
        <v>9.8496959999999998</v>
      </c>
      <c r="G23" s="3"/>
      <c r="H23" s="46">
        <v>20.537663999999999</v>
      </c>
      <c r="I23" s="3"/>
      <c r="J23" s="46">
        <v>56.321400000000004</v>
      </c>
      <c r="K23" s="3"/>
      <c r="L23" s="46">
        <v>129.67020000000002</v>
      </c>
      <c r="M23" s="3" t="s">
        <v>52</v>
      </c>
      <c r="N23" s="46">
        <v>99</v>
      </c>
      <c r="O23" s="3" t="s">
        <v>52</v>
      </c>
      <c r="P23" s="52">
        <f>SUMIF('Physical Condition Assessment'!H23:N23,"X",'PCA Cost Tables - READ ONLY'!F23:L23)</f>
        <v>0</v>
      </c>
      <c r="Q23" s="4"/>
      <c r="S23" s="599"/>
      <c r="U23" s="599"/>
      <c r="W23" s="599"/>
      <c r="Y23" s="599"/>
    </row>
    <row r="24" spans="1:25" ht="16" thickBot="1" x14ac:dyDescent="0.25">
      <c r="A24" s="545"/>
      <c r="B24" s="7"/>
      <c r="C24"/>
      <c r="D24" s="3"/>
      <c r="E24"/>
      <c r="F24" s="42"/>
      <c r="G24" s="3"/>
      <c r="H24" s="42"/>
      <c r="I24" s="3"/>
      <c r="J24" s="68"/>
      <c r="K24" s="3"/>
      <c r="L24" s="42"/>
      <c r="M24" s="3"/>
      <c r="N24" s="42"/>
      <c r="O24" s="3"/>
      <c r="P24" s="53"/>
      <c r="Q24" s="3"/>
      <c r="S24" s="599"/>
      <c r="U24" s="599"/>
      <c r="W24" s="599"/>
      <c r="Y24" s="599"/>
    </row>
    <row r="25" spans="1:25" ht="16" thickBot="1" x14ac:dyDescent="0.25">
      <c r="A25" s="545" t="s">
        <v>27</v>
      </c>
      <c r="B25" s="7" t="s">
        <v>96</v>
      </c>
      <c r="C25" t="s">
        <v>97</v>
      </c>
      <c r="D25" s="3" t="s">
        <v>98</v>
      </c>
      <c r="E25" s="3" t="str">
        <f t="shared" ref="E25:E39" si="2">C25&amp;"_"&amp;D25</f>
        <v>B2010 Exterior Walls_Concrete Formed / Tilt</v>
      </c>
      <c r="F25" s="46">
        <v>4.25685</v>
      </c>
      <c r="G25" s="3"/>
      <c r="H25" s="46">
        <v>6.1560600000000001</v>
      </c>
      <c r="I25" s="3"/>
      <c r="J25" s="46">
        <v>26.196000000000002</v>
      </c>
      <c r="K25" s="3"/>
      <c r="L25" s="47">
        <v>0</v>
      </c>
      <c r="M25" s="3" t="s">
        <v>52</v>
      </c>
      <c r="N25" s="47"/>
      <c r="O25" s="3" t="s">
        <v>52</v>
      </c>
      <c r="P25" s="52">
        <f>SUMIF('Physical Condition Assessment'!H25:N25,"X",'PCA Cost Tables - READ ONLY'!F25:L25)</f>
        <v>0</v>
      </c>
      <c r="Q25" s="4"/>
      <c r="S25" s="599"/>
      <c r="U25" s="599"/>
      <c r="W25" s="599"/>
      <c r="Y25" s="599"/>
    </row>
    <row r="26" spans="1:25" ht="16" thickBot="1" x14ac:dyDescent="0.25">
      <c r="A26" s="545" t="s">
        <v>27</v>
      </c>
      <c r="B26" s="546" t="s">
        <v>96</v>
      </c>
      <c r="C26" t="s">
        <v>97</v>
      </c>
      <c r="D26" s="3" t="s">
        <v>102</v>
      </c>
      <c r="E26" s="3" t="str">
        <f t="shared" si="2"/>
        <v>B2010 Exterior Walls_Masonry</v>
      </c>
      <c r="F26" s="46">
        <v>4.25685</v>
      </c>
      <c r="G26" s="3"/>
      <c r="H26" s="46">
        <v>8.801855999999999</v>
      </c>
      <c r="I26" s="3"/>
      <c r="J26" s="46">
        <v>27.662976000000004</v>
      </c>
      <c r="K26" s="3"/>
      <c r="L26" s="46">
        <v>42.869754</v>
      </c>
      <c r="M26" s="3" t="s">
        <v>52</v>
      </c>
      <c r="N26" s="46">
        <v>37.729999999999997</v>
      </c>
      <c r="O26" s="3" t="s">
        <v>52</v>
      </c>
      <c r="P26" s="52">
        <f>SUMIF('Physical Condition Assessment'!H26:N26,"X",'PCA Cost Tables - READ ONLY'!F26:L26)</f>
        <v>0</v>
      </c>
      <c r="Q26" s="4"/>
      <c r="S26" s="599"/>
      <c r="U26" s="599"/>
      <c r="W26" s="599"/>
      <c r="Y26" s="599"/>
    </row>
    <row r="27" spans="1:25" ht="16" thickBot="1" x14ac:dyDescent="0.25">
      <c r="A27" s="545" t="s">
        <v>27</v>
      </c>
      <c r="B27" s="546" t="s">
        <v>96</v>
      </c>
      <c r="C27" t="s">
        <v>97</v>
      </c>
      <c r="D27" s="3" t="s">
        <v>104</v>
      </c>
      <c r="E27" s="3" t="str">
        <f t="shared" si="2"/>
        <v>B2010 Exterior Walls_Framed w/ Wood Siding</v>
      </c>
      <c r="F27" s="46">
        <v>5.4876249999999995</v>
      </c>
      <c r="G27" s="3"/>
      <c r="H27" s="46">
        <v>10.40325</v>
      </c>
      <c r="I27" s="3"/>
      <c r="J27" s="46">
        <v>33.068750000000001</v>
      </c>
      <c r="K27" s="3"/>
      <c r="L27" s="46">
        <v>45.599125000000001</v>
      </c>
      <c r="M27" s="3" t="s">
        <v>52</v>
      </c>
      <c r="N27" s="46">
        <v>30.51</v>
      </c>
      <c r="O27" s="3" t="s">
        <v>52</v>
      </c>
      <c r="P27" s="52">
        <f>SUMIF('Physical Condition Assessment'!H27:N27,"X",'PCA Cost Tables - READ ONLY'!F27:L27)</f>
        <v>0</v>
      </c>
      <c r="Q27" s="4"/>
      <c r="S27" s="599"/>
      <c r="U27" s="599"/>
      <c r="W27" s="599"/>
      <c r="Y27" s="599"/>
    </row>
    <row r="28" spans="1:25" ht="16" thickBot="1" x14ac:dyDescent="0.25">
      <c r="A28" s="545" t="s">
        <v>27</v>
      </c>
      <c r="B28" s="546" t="s">
        <v>96</v>
      </c>
      <c r="C28" t="s">
        <v>97</v>
      </c>
      <c r="D28" s="3" t="s">
        <v>106</v>
      </c>
      <c r="E28" s="3" t="str">
        <f t="shared" si="2"/>
        <v>B2010 Exterior Walls_Framed w/Metal Panel</v>
      </c>
      <c r="F28" s="46">
        <v>6.3813749999999994</v>
      </c>
      <c r="G28" s="3"/>
      <c r="H28" s="46">
        <v>12.19075</v>
      </c>
      <c r="I28" s="3"/>
      <c r="J28" s="46">
        <v>34.32</v>
      </c>
      <c r="K28" s="3"/>
      <c r="L28" s="46">
        <v>54.536625000000001</v>
      </c>
      <c r="M28" s="3" t="s">
        <v>52</v>
      </c>
      <c r="N28" s="46">
        <v>35.51</v>
      </c>
      <c r="O28" s="3" t="s">
        <v>52</v>
      </c>
      <c r="P28" s="52">
        <f>SUMIF('Physical Condition Assessment'!H28:N28,"X",'PCA Cost Tables - READ ONLY'!F28:L28)</f>
        <v>0</v>
      </c>
      <c r="Q28" s="4"/>
      <c r="S28" s="599"/>
      <c r="U28" s="599"/>
      <c r="W28" s="599"/>
      <c r="Y28" s="599"/>
    </row>
    <row r="29" spans="1:25" ht="16" thickBot="1" x14ac:dyDescent="0.25">
      <c r="A29" s="545" t="s">
        <v>27</v>
      </c>
      <c r="B29" s="546" t="s">
        <v>96</v>
      </c>
      <c r="C29" t="s">
        <v>97</v>
      </c>
      <c r="D29" s="3" t="s">
        <v>108</v>
      </c>
      <c r="E29" s="3" t="str">
        <f t="shared" si="2"/>
        <v>B2010 Exterior Walls_Framed w/Stucco</v>
      </c>
      <c r="F29" s="46">
        <v>4.0210860000000004</v>
      </c>
      <c r="G29" s="3"/>
      <c r="H29" s="46">
        <v>7.6230360000000008</v>
      </c>
      <c r="I29" s="3"/>
      <c r="J29" s="46">
        <v>26.196000000000002</v>
      </c>
      <c r="K29" s="3"/>
      <c r="L29" s="46">
        <v>40.197762000000004</v>
      </c>
      <c r="M29" s="3" t="s">
        <v>52</v>
      </c>
      <c r="N29" s="46">
        <v>35.69</v>
      </c>
      <c r="O29" s="3" t="s">
        <v>52</v>
      </c>
      <c r="P29" s="52">
        <f>SUMIF('Physical Condition Assessment'!H29:N29,"X",'PCA Cost Tables - READ ONLY'!F29:L29)</f>
        <v>0</v>
      </c>
      <c r="Q29" s="4"/>
      <c r="S29" s="599"/>
      <c r="U29" s="599"/>
      <c r="W29" s="599"/>
      <c r="Y29" s="599"/>
    </row>
    <row r="30" spans="1:25" ht="16" thickBot="1" x14ac:dyDescent="0.25">
      <c r="A30" s="545" t="s">
        <v>27</v>
      </c>
      <c r="B30" s="546" t="s">
        <v>96</v>
      </c>
      <c r="C30" t="s">
        <v>97</v>
      </c>
      <c r="D30" s="3" t="s">
        <v>110</v>
      </c>
      <c r="E30" s="3" t="str">
        <f t="shared" si="2"/>
        <v>B2010 Exterior Walls_Framed w/Masonry Veneer</v>
      </c>
      <c r="F30" s="46">
        <v>3.2221080000000004</v>
      </c>
      <c r="G30" s="3"/>
      <c r="H30" s="46">
        <v>5.8679040000000011</v>
      </c>
      <c r="I30" s="3"/>
      <c r="J30" s="46">
        <v>32.0901</v>
      </c>
      <c r="K30" s="3"/>
      <c r="L30" s="46">
        <v>50.571378000000003</v>
      </c>
      <c r="M30" s="3" t="s">
        <v>52</v>
      </c>
      <c r="N30" s="46">
        <v>43.61</v>
      </c>
      <c r="O30" s="3" t="s">
        <v>52</v>
      </c>
      <c r="P30" s="52">
        <f>SUMIF('Physical Condition Assessment'!H30:N30,"X",'PCA Cost Tables - READ ONLY'!F30:L30)</f>
        <v>0</v>
      </c>
      <c r="Q30" s="4"/>
      <c r="S30" s="599"/>
      <c r="U30" s="599"/>
      <c r="W30" s="599"/>
      <c r="Y30" s="599"/>
    </row>
    <row r="31" spans="1:25" ht="16" thickBot="1" x14ac:dyDescent="0.25">
      <c r="A31" s="545" t="s">
        <v>27</v>
      </c>
      <c r="B31" s="546" t="s">
        <v>96</v>
      </c>
      <c r="C31" t="s">
        <v>112</v>
      </c>
      <c r="D31" s="3" t="s">
        <v>83</v>
      </c>
      <c r="E31" s="3" t="str">
        <f t="shared" si="2"/>
        <v>B2020 Exterior Windows_Wood</v>
      </c>
      <c r="F31" s="46">
        <v>89.375</v>
      </c>
      <c r="G31" s="3"/>
      <c r="H31" s="46">
        <v>357.5</v>
      </c>
      <c r="I31" s="3"/>
      <c r="J31" s="46">
        <v>893.75</v>
      </c>
      <c r="K31" s="3"/>
      <c r="L31" s="46">
        <v>1787.5</v>
      </c>
      <c r="M31" s="3" t="s">
        <v>52</v>
      </c>
      <c r="N31" s="46">
        <v>1000</v>
      </c>
      <c r="O31" s="3" t="s">
        <v>52</v>
      </c>
      <c r="P31" s="52">
        <f>SUMIF('Physical Condition Assessment'!H31:N31,"X",'PCA Cost Tables - READ ONLY'!F31:L31)</f>
        <v>0</v>
      </c>
      <c r="Q31" s="4" t="s">
        <v>895</v>
      </c>
      <c r="S31" s="599"/>
      <c r="U31" s="599"/>
      <c r="W31" s="599"/>
      <c r="Y31" s="599"/>
    </row>
    <row r="32" spans="1:25" ht="16" thickBot="1" x14ac:dyDescent="0.25">
      <c r="A32" s="545" t="s">
        <v>27</v>
      </c>
      <c r="B32" s="546" t="s">
        <v>96</v>
      </c>
      <c r="C32" t="s">
        <v>112</v>
      </c>
      <c r="D32" s="3" t="s">
        <v>117</v>
      </c>
      <c r="E32" s="3" t="str">
        <f t="shared" si="2"/>
        <v>B2020 Exterior Windows_Aluminum/Steel</v>
      </c>
      <c r="F32" s="46">
        <v>31.5</v>
      </c>
      <c r="G32" s="3"/>
      <c r="H32" s="46">
        <v>126</v>
      </c>
      <c r="I32" s="3"/>
      <c r="J32" s="46">
        <v>1102.5</v>
      </c>
      <c r="K32" s="3"/>
      <c r="L32" s="46">
        <v>2205</v>
      </c>
      <c r="M32" s="3" t="s">
        <v>52</v>
      </c>
      <c r="N32" s="46">
        <v>1400</v>
      </c>
      <c r="O32" s="3" t="s">
        <v>52</v>
      </c>
      <c r="P32" s="52">
        <f>SUMIF('Physical Condition Assessment'!H32:N32,"X",'PCA Cost Tables - READ ONLY'!F32:L32)</f>
        <v>0</v>
      </c>
      <c r="Q32" s="4" t="s">
        <v>895</v>
      </c>
      <c r="S32" s="599"/>
      <c r="U32" s="599"/>
      <c r="W32" s="599"/>
      <c r="Y32" s="599"/>
    </row>
    <row r="33" spans="1:25" ht="16" thickBot="1" x14ac:dyDescent="0.25">
      <c r="A33" s="545" t="s">
        <v>27</v>
      </c>
      <c r="B33" s="546" t="s">
        <v>96</v>
      </c>
      <c r="C33" t="s">
        <v>112</v>
      </c>
      <c r="D33" s="3" t="s">
        <v>119</v>
      </c>
      <c r="E33" s="3" t="str">
        <f t="shared" si="2"/>
        <v>B2020 Exterior Windows_Clad</v>
      </c>
      <c r="F33" s="46">
        <v>119.07000000000001</v>
      </c>
      <c r="G33" s="3"/>
      <c r="H33" s="46">
        <v>476.28000000000003</v>
      </c>
      <c r="I33" s="3"/>
      <c r="J33" s="46">
        <v>1587.6</v>
      </c>
      <c r="K33" s="3"/>
      <c r="L33" s="46">
        <v>3175.2</v>
      </c>
      <c r="M33" s="3" t="s">
        <v>52</v>
      </c>
      <c r="N33" s="46">
        <v>2000</v>
      </c>
      <c r="O33" s="3" t="s">
        <v>52</v>
      </c>
      <c r="P33" s="52">
        <f>SUMIF('Physical Condition Assessment'!H33:N33,"X",'PCA Cost Tables - READ ONLY'!F33:L33)</f>
        <v>0</v>
      </c>
      <c r="Q33" s="4" t="s">
        <v>895</v>
      </c>
      <c r="S33" s="599"/>
      <c r="U33" s="599"/>
      <c r="W33" s="599"/>
      <c r="Y33" s="599"/>
    </row>
    <row r="34" spans="1:25" ht="16" thickBot="1" x14ac:dyDescent="0.25">
      <c r="A34" s="545" t="s">
        <v>27</v>
      </c>
      <c r="B34" s="546" t="s">
        <v>96</v>
      </c>
      <c r="C34" t="s">
        <v>112</v>
      </c>
      <c r="D34" s="3" t="s">
        <v>121</v>
      </c>
      <c r="E34" s="3" t="str">
        <f t="shared" si="2"/>
        <v>B2020 Exterior Windows_Curtain Wall</v>
      </c>
      <c r="F34" s="46">
        <v>39.69</v>
      </c>
      <c r="G34" s="3"/>
      <c r="H34" s="46">
        <v>158.76</v>
      </c>
      <c r="I34" s="3"/>
      <c r="J34" s="46">
        <v>1190.7</v>
      </c>
      <c r="K34" s="3"/>
      <c r="L34" s="46">
        <v>2381.4</v>
      </c>
      <c r="M34" s="3" t="s">
        <v>52</v>
      </c>
      <c r="N34" s="46">
        <v>30</v>
      </c>
      <c r="O34" s="3" t="s">
        <v>52</v>
      </c>
      <c r="P34" s="52">
        <f>SUMIF('Physical Condition Assessment'!H34:N34,"X",'PCA Cost Tables - READ ONLY'!F34:L34)</f>
        <v>0</v>
      </c>
      <c r="Q34" s="4" t="s">
        <v>895</v>
      </c>
      <c r="S34" s="599"/>
      <c r="U34" s="599"/>
      <c r="W34" s="599"/>
      <c r="Y34" s="599"/>
    </row>
    <row r="35" spans="1:25" ht="16" thickBot="1" x14ac:dyDescent="0.25">
      <c r="A35" s="545" t="s">
        <v>27</v>
      </c>
      <c r="B35" s="546" t="s">
        <v>96</v>
      </c>
      <c r="C35" t="s">
        <v>123</v>
      </c>
      <c r="D35" s="3" t="s">
        <v>83</v>
      </c>
      <c r="E35" s="3" t="str">
        <f t="shared" si="2"/>
        <v>B2030 Exterior Doors_Wood</v>
      </c>
      <c r="F35" s="46">
        <v>446.875</v>
      </c>
      <c r="G35" s="3"/>
      <c r="H35" s="46">
        <v>1787.5</v>
      </c>
      <c r="I35" s="3"/>
      <c r="J35" s="46">
        <v>2681.25</v>
      </c>
      <c r="K35" s="3"/>
      <c r="L35" s="46">
        <v>3575</v>
      </c>
      <c r="M35" s="3" t="s">
        <v>52</v>
      </c>
      <c r="N35" s="46">
        <v>2000</v>
      </c>
      <c r="O35" s="3" t="s">
        <v>52</v>
      </c>
      <c r="P35" s="52">
        <f>SUMIF('Physical Condition Assessment'!H35:N35,"X",'PCA Cost Tables - READ ONLY'!F35:L35)</f>
        <v>0</v>
      </c>
      <c r="Q35" s="4" t="s">
        <v>896</v>
      </c>
      <c r="S35" s="599"/>
      <c r="U35" s="599"/>
      <c r="W35" s="599"/>
      <c r="Y35" s="599"/>
    </row>
    <row r="36" spans="1:25" ht="16" thickBot="1" x14ac:dyDescent="0.25">
      <c r="A36" s="545" t="s">
        <v>27</v>
      </c>
      <c r="B36" s="546" t="s">
        <v>96</v>
      </c>
      <c r="C36" t="s">
        <v>123</v>
      </c>
      <c r="D36" s="3" t="s">
        <v>127</v>
      </c>
      <c r="E36" s="3" t="str">
        <f t="shared" si="2"/>
        <v>B2030 Exterior Doors_Hollow Metal</v>
      </c>
      <c r="F36" s="46">
        <v>446.875</v>
      </c>
      <c r="G36" s="3"/>
      <c r="H36" s="46">
        <v>1787.5</v>
      </c>
      <c r="I36" s="3"/>
      <c r="J36" s="46">
        <v>2323.75</v>
      </c>
      <c r="K36" s="3"/>
      <c r="L36" s="46">
        <v>3217.5</v>
      </c>
      <c r="M36" s="3" t="s">
        <v>52</v>
      </c>
      <c r="N36" s="46">
        <v>1800</v>
      </c>
      <c r="O36" s="3" t="s">
        <v>52</v>
      </c>
      <c r="P36" s="52">
        <f>SUMIF('Physical Condition Assessment'!H36:N36,"X",'PCA Cost Tables - READ ONLY'!F36:L36)</f>
        <v>0</v>
      </c>
      <c r="Q36" s="4" t="s">
        <v>896</v>
      </c>
      <c r="S36" s="599"/>
      <c r="U36" s="599"/>
      <c r="W36" s="599"/>
      <c r="Y36" s="599"/>
    </row>
    <row r="37" spans="1:25" ht="16" thickBot="1" x14ac:dyDescent="0.25">
      <c r="A37" s="545" t="s">
        <v>27</v>
      </c>
      <c r="B37" s="546" t="s">
        <v>96</v>
      </c>
      <c r="C37" t="s">
        <v>123</v>
      </c>
      <c r="D37" s="3" t="s">
        <v>129</v>
      </c>
      <c r="E37" s="3" t="str">
        <f t="shared" si="2"/>
        <v>B2030 Exterior Doors_Storefront</v>
      </c>
      <c r="F37" s="46">
        <v>450.45</v>
      </c>
      <c r="G37" s="3"/>
      <c r="H37" s="46">
        <v>2162.16</v>
      </c>
      <c r="I37" s="3"/>
      <c r="J37" s="46">
        <v>4324.32</v>
      </c>
      <c r="K37" s="3"/>
      <c r="L37" s="46">
        <v>5405.4</v>
      </c>
      <c r="M37" s="3" t="s">
        <v>52</v>
      </c>
      <c r="N37" s="46">
        <v>3000</v>
      </c>
      <c r="O37" s="3" t="s">
        <v>52</v>
      </c>
      <c r="P37" s="52">
        <f>SUMIF('Physical Condition Assessment'!H37:N37,"X",'PCA Cost Tables - READ ONLY'!F37:L37)</f>
        <v>0</v>
      </c>
      <c r="Q37" s="4" t="s">
        <v>897</v>
      </c>
      <c r="S37" s="599"/>
      <c r="U37" s="599"/>
      <c r="W37" s="599"/>
      <c r="Y37" s="599"/>
    </row>
    <row r="38" spans="1:25" ht="16" thickBot="1" x14ac:dyDescent="0.25">
      <c r="A38" s="545" t="s">
        <v>27</v>
      </c>
      <c r="B38" s="546" t="s">
        <v>96</v>
      </c>
      <c r="C38" t="s">
        <v>123</v>
      </c>
      <c r="D38" t="s">
        <v>131</v>
      </c>
      <c r="E38" t="str">
        <f t="shared" si="2"/>
        <v>B2030 Exterior Doors_Overhead Metal Garage</v>
      </c>
      <c r="F38" s="46">
        <v>268.125</v>
      </c>
      <c r="G38" s="3"/>
      <c r="H38" s="46">
        <v>536.25</v>
      </c>
      <c r="I38" s="3"/>
      <c r="J38" s="46">
        <v>1072.5</v>
      </c>
      <c r="K38" s="3"/>
      <c r="L38" s="46">
        <v>2681.25</v>
      </c>
      <c r="M38" s="3" t="s">
        <v>52</v>
      </c>
      <c r="N38" s="46">
        <v>1500</v>
      </c>
      <c r="O38" s="3" t="s">
        <v>52</v>
      </c>
      <c r="P38" s="52">
        <f>SUMIF('Physical Condition Assessment'!H38:N38,"X",'PCA Cost Tables - READ ONLY'!F38:L38)</f>
        <v>0</v>
      </c>
      <c r="Q38" s="4" t="s">
        <v>898</v>
      </c>
      <c r="S38" s="599"/>
      <c r="U38" s="599"/>
      <c r="W38" s="599"/>
      <c r="Y38" s="599"/>
    </row>
    <row r="39" spans="1:25" ht="16" thickBot="1" x14ac:dyDescent="0.25">
      <c r="A39" s="545" t="s">
        <v>27</v>
      </c>
      <c r="B39" s="546" t="s">
        <v>96</v>
      </c>
      <c r="C39" t="s">
        <v>123</v>
      </c>
      <c r="D39" t="s">
        <v>133</v>
      </c>
      <c r="E39" t="str">
        <f t="shared" si="2"/>
        <v xml:space="preserve">B2030 Exterior Doors_Rollup Metal </v>
      </c>
      <c r="F39" s="46">
        <v>178.75</v>
      </c>
      <c r="G39" s="3"/>
      <c r="H39" s="46">
        <v>446.875</v>
      </c>
      <c r="I39" s="3"/>
      <c r="J39" s="46">
        <v>893.75</v>
      </c>
      <c r="K39" s="3"/>
      <c r="L39" s="46">
        <v>1787.5</v>
      </c>
      <c r="M39" s="3" t="s">
        <v>52</v>
      </c>
      <c r="N39" s="46">
        <v>1000</v>
      </c>
      <c r="O39" s="3" t="s">
        <v>52</v>
      </c>
      <c r="P39" s="52">
        <f>SUMIF('Physical Condition Assessment'!H39:N39,"X",'PCA Cost Tables - READ ONLY'!F39:L39)</f>
        <v>0</v>
      </c>
      <c r="Q39" s="4" t="s">
        <v>898</v>
      </c>
      <c r="S39" s="599"/>
      <c r="U39" s="599"/>
      <c r="W39" s="599"/>
      <c r="Y39" s="599"/>
    </row>
    <row r="40" spans="1:25" ht="16" thickBot="1" x14ac:dyDescent="0.25">
      <c r="A40" s="545"/>
      <c r="B40" s="7"/>
      <c r="C40"/>
      <c r="D40"/>
      <c r="E40"/>
      <c r="F40" s="42"/>
      <c r="G40" s="3"/>
      <c r="H40" s="42"/>
      <c r="I40" s="3"/>
      <c r="J40" s="68"/>
      <c r="K40" s="3"/>
      <c r="L40" s="42"/>
      <c r="M40" s="3"/>
      <c r="N40" s="42"/>
      <c r="O40" s="3"/>
      <c r="P40" s="53"/>
      <c r="Q40" s="3"/>
      <c r="S40" s="599"/>
      <c r="U40" s="599"/>
      <c r="W40" s="599"/>
      <c r="Y40" s="599"/>
    </row>
    <row r="41" spans="1:25" ht="16" thickBot="1" x14ac:dyDescent="0.25">
      <c r="A41" s="545" t="s">
        <v>27</v>
      </c>
      <c r="B41" s="7" t="s">
        <v>135</v>
      </c>
      <c r="C41" t="s">
        <v>136</v>
      </c>
      <c r="D41" t="s">
        <v>137</v>
      </c>
      <c r="E41" t="str">
        <f t="shared" ref="E41:E50" si="3">C41&amp;"_"&amp;D41</f>
        <v>B3010 Roof Coverings_Asphalt Shingle</v>
      </c>
      <c r="F41" s="46">
        <v>2.3058000000000001</v>
      </c>
      <c r="G41" s="3"/>
      <c r="H41" s="46">
        <v>6.5074800000000002</v>
      </c>
      <c r="I41" s="3"/>
      <c r="J41" s="46">
        <v>18.361000000000001</v>
      </c>
      <c r="K41" s="3"/>
      <c r="L41" s="46">
        <v>25.62</v>
      </c>
      <c r="M41" s="3" t="s">
        <v>52</v>
      </c>
      <c r="N41" s="46">
        <v>15</v>
      </c>
      <c r="O41" s="3" t="s">
        <v>52</v>
      </c>
      <c r="P41" s="52">
        <f>SUMIF('Physical Condition Assessment'!H41:N41,"X",'PCA Cost Tables - READ ONLY'!F41:L41)</f>
        <v>0</v>
      </c>
      <c r="Q41" s="4"/>
      <c r="S41" s="599"/>
      <c r="U41" s="599"/>
      <c r="W41" s="599"/>
      <c r="Y41" s="599"/>
    </row>
    <row r="42" spans="1:25" ht="16" thickBot="1" x14ac:dyDescent="0.25">
      <c r="A42" s="545" t="s">
        <v>27</v>
      </c>
      <c r="B42" s="546" t="s">
        <v>135</v>
      </c>
      <c r="C42" t="s">
        <v>136</v>
      </c>
      <c r="D42" s="3" t="s">
        <v>139</v>
      </c>
      <c r="E42" s="3" t="str">
        <f t="shared" si="3"/>
        <v>B3010 Roof Coverings_Modified Bitumen</v>
      </c>
      <c r="F42" s="46">
        <v>2.3058000000000001</v>
      </c>
      <c r="G42" s="3"/>
      <c r="H42" s="46">
        <v>6.5074800000000002</v>
      </c>
      <c r="I42" s="3"/>
      <c r="J42" s="46">
        <v>18.361000000000001</v>
      </c>
      <c r="K42" s="3"/>
      <c r="L42" s="46">
        <v>25.62</v>
      </c>
      <c r="M42" s="3" t="s">
        <v>52</v>
      </c>
      <c r="N42" s="46">
        <v>16</v>
      </c>
      <c r="O42" s="3" t="s">
        <v>52</v>
      </c>
      <c r="P42" s="52">
        <f>SUMIF('Physical Condition Assessment'!H42:N42,"X",'PCA Cost Tables - READ ONLY'!F42:L42)</f>
        <v>0</v>
      </c>
      <c r="Q42" s="4"/>
      <c r="S42" s="599"/>
      <c r="U42" s="599"/>
      <c r="W42" s="599"/>
      <c r="Y42" s="599"/>
    </row>
    <row r="43" spans="1:25" ht="16" thickBot="1" x14ac:dyDescent="0.25">
      <c r="A43" s="545" t="s">
        <v>27</v>
      </c>
      <c r="B43" s="546" t="s">
        <v>135</v>
      </c>
      <c r="C43" t="s">
        <v>136</v>
      </c>
      <c r="D43" s="3" t="s">
        <v>141</v>
      </c>
      <c r="E43" s="3" t="str">
        <f t="shared" si="3"/>
        <v>B3010 Roof Coverings_Gravel</v>
      </c>
      <c r="F43" s="46">
        <v>2.6815599999999997</v>
      </c>
      <c r="G43" s="3"/>
      <c r="H43" s="46">
        <v>6.7978399999999999</v>
      </c>
      <c r="I43" s="3"/>
      <c r="J43" s="46">
        <v>20.086079999999999</v>
      </c>
      <c r="K43" s="3"/>
      <c r="L43" s="46">
        <v>44.407999999999994</v>
      </c>
      <c r="M43" s="3" t="s">
        <v>52</v>
      </c>
      <c r="N43" s="46">
        <v>17</v>
      </c>
      <c r="O43" s="3" t="s">
        <v>52</v>
      </c>
      <c r="P43" s="52">
        <f>SUMIF('Physical Condition Assessment'!H43:N43,"X",'PCA Cost Tables - READ ONLY'!F43:L43)</f>
        <v>0</v>
      </c>
      <c r="Q43" s="4"/>
      <c r="S43" s="599"/>
      <c r="U43" s="599"/>
      <c r="W43" s="599"/>
      <c r="Y43" s="599"/>
    </row>
    <row r="44" spans="1:25" ht="16" thickBot="1" x14ac:dyDescent="0.25">
      <c r="A44" s="545" t="s">
        <v>27</v>
      </c>
      <c r="B44" s="546" t="s">
        <v>135</v>
      </c>
      <c r="C44" t="s">
        <v>136</v>
      </c>
      <c r="D44" s="3" t="s">
        <v>143</v>
      </c>
      <c r="E44" s="3" t="str">
        <f t="shared" si="3"/>
        <v>B3010 Roof Coverings_Spanish Tile</v>
      </c>
      <c r="F44" s="46">
        <v>3.8850000000000002</v>
      </c>
      <c r="G44" s="3"/>
      <c r="H44" s="46">
        <v>9.1375200000000003</v>
      </c>
      <c r="I44" s="3"/>
      <c r="J44" s="46">
        <v>25.252500000000001</v>
      </c>
      <c r="K44" s="3"/>
      <c r="L44" s="46">
        <v>52.835999999999999</v>
      </c>
      <c r="M44" s="3" t="s">
        <v>52</v>
      </c>
      <c r="N44" s="46">
        <v>34</v>
      </c>
      <c r="O44" s="3" t="s">
        <v>52</v>
      </c>
      <c r="P44" s="52">
        <f>SUMIF('Physical Condition Assessment'!H44:N44,"X",'PCA Cost Tables - READ ONLY'!F44:L44)</f>
        <v>0</v>
      </c>
      <c r="Q44" s="4"/>
      <c r="S44" s="599"/>
      <c r="U44" s="599"/>
      <c r="W44" s="599"/>
      <c r="Y44" s="599"/>
    </row>
    <row r="45" spans="1:25" ht="16" thickBot="1" x14ac:dyDescent="0.25">
      <c r="A45" s="545" t="s">
        <v>27</v>
      </c>
      <c r="B45" s="546" t="s">
        <v>135</v>
      </c>
      <c r="C45" t="s">
        <v>136</v>
      </c>
      <c r="D45" t="s">
        <v>145</v>
      </c>
      <c r="E45" t="str">
        <f t="shared" si="3"/>
        <v>B3010 Roof Coverings_Built-Up</v>
      </c>
      <c r="F45" s="46">
        <v>2.6815599999999997</v>
      </c>
      <c r="G45" s="3"/>
      <c r="H45" s="46">
        <v>6.7978399999999999</v>
      </c>
      <c r="I45" s="3"/>
      <c r="J45" s="46">
        <v>20.086079999999999</v>
      </c>
      <c r="K45" s="3"/>
      <c r="L45" s="46">
        <v>44.407999999999994</v>
      </c>
      <c r="M45" s="3" t="s">
        <v>52</v>
      </c>
      <c r="N45" s="46">
        <v>26</v>
      </c>
      <c r="O45" s="3" t="s">
        <v>52</v>
      </c>
      <c r="P45" s="52">
        <f>SUMIF('Physical Condition Assessment'!H45:N45,"X",'PCA Cost Tables - READ ONLY'!F45:L45)</f>
        <v>0</v>
      </c>
      <c r="Q45" s="4"/>
      <c r="S45" s="599"/>
      <c r="U45" s="599"/>
      <c r="W45" s="599"/>
      <c r="Y45" s="599"/>
    </row>
    <row r="46" spans="1:25" ht="16" thickBot="1" x14ac:dyDescent="0.25">
      <c r="A46" s="545" t="s">
        <v>27</v>
      </c>
      <c r="B46" s="546" t="s">
        <v>135</v>
      </c>
      <c r="C46" t="s">
        <v>136</v>
      </c>
      <c r="D46" t="s">
        <v>147</v>
      </c>
      <c r="E46" t="str">
        <f t="shared" si="3"/>
        <v>B3010 Roof Coverings_Single Ply</v>
      </c>
      <c r="F46" s="46">
        <v>4.0137999999999998</v>
      </c>
      <c r="G46" s="3"/>
      <c r="H46" s="46">
        <v>7.2760799999999985</v>
      </c>
      <c r="I46" s="3"/>
      <c r="J46" s="46">
        <v>19.31748</v>
      </c>
      <c r="K46" s="3"/>
      <c r="L46" s="46">
        <v>40.991999999999997</v>
      </c>
      <c r="M46" s="3" t="s">
        <v>52</v>
      </c>
      <c r="N46" s="46">
        <v>24</v>
      </c>
      <c r="O46" s="3" t="s">
        <v>52</v>
      </c>
      <c r="P46" s="52">
        <f>SUMIF('Physical Condition Assessment'!H46:N46,"X",'PCA Cost Tables - READ ONLY'!F46:L46)</f>
        <v>0</v>
      </c>
      <c r="Q46" s="4"/>
      <c r="S46" s="599"/>
      <c r="U46" s="599"/>
      <c r="W46" s="599"/>
      <c r="Y46" s="599"/>
    </row>
    <row r="47" spans="1:25" ht="16" thickBot="1" x14ac:dyDescent="0.25">
      <c r="A47" s="545" t="s">
        <v>27</v>
      </c>
      <c r="B47" s="546" t="s">
        <v>135</v>
      </c>
      <c r="C47" t="s">
        <v>136</v>
      </c>
      <c r="D47" t="s">
        <v>149</v>
      </c>
      <c r="E47" t="str">
        <f t="shared" si="3"/>
        <v>B3010 Roof Coverings_Metal</v>
      </c>
      <c r="F47" s="46">
        <v>4.29</v>
      </c>
      <c r="G47" s="3"/>
      <c r="H47" s="46">
        <v>9.6167499999999997</v>
      </c>
      <c r="I47" s="3"/>
      <c r="J47" s="46">
        <v>25.024999999999999</v>
      </c>
      <c r="K47" s="3"/>
      <c r="L47" s="46">
        <v>57.199999999999996</v>
      </c>
      <c r="M47" s="3" t="s">
        <v>52</v>
      </c>
      <c r="N47" s="46">
        <v>32</v>
      </c>
      <c r="O47" s="3" t="s">
        <v>52</v>
      </c>
      <c r="P47" s="52">
        <f>SUMIF('Physical Condition Assessment'!H47:N47,"X",'PCA Cost Tables - READ ONLY'!F47:L47)</f>
        <v>0</v>
      </c>
      <c r="Q47" s="4"/>
      <c r="S47" s="599"/>
      <c r="U47" s="599"/>
      <c r="W47" s="599"/>
      <c r="Y47" s="599"/>
    </row>
    <row r="48" spans="1:25" ht="16" thickBot="1" x14ac:dyDescent="0.25">
      <c r="A48" s="545" t="s">
        <v>27</v>
      </c>
      <c r="B48" s="546" t="s">
        <v>135</v>
      </c>
      <c r="C48" t="s">
        <v>136</v>
      </c>
      <c r="D48" t="s">
        <v>151</v>
      </c>
      <c r="E48" t="str">
        <f t="shared" si="3"/>
        <v>B3010 Roof Coverings_Concrete Tile</v>
      </c>
      <c r="F48" s="46">
        <v>3.8850000000000002</v>
      </c>
      <c r="G48" s="3"/>
      <c r="H48" s="46">
        <v>9.1375200000000003</v>
      </c>
      <c r="I48" s="3"/>
      <c r="J48" s="46">
        <v>25.252500000000001</v>
      </c>
      <c r="K48" s="3"/>
      <c r="L48" s="46">
        <v>52.835999999999999</v>
      </c>
      <c r="M48" s="3" t="s">
        <v>52</v>
      </c>
      <c r="N48" s="46">
        <v>34</v>
      </c>
      <c r="O48" s="3" t="s">
        <v>52</v>
      </c>
      <c r="P48" s="52">
        <f>SUMIF('Physical Condition Assessment'!H48:N48,"X",'PCA Cost Tables - READ ONLY'!F48:L48)</f>
        <v>0</v>
      </c>
      <c r="Q48" s="4"/>
      <c r="S48" s="599"/>
      <c r="U48" s="599"/>
      <c r="W48" s="599"/>
      <c r="Y48" s="599"/>
    </row>
    <row r="49" spans="1:25" ht="16" thickBot="1" x14ac:dyDescent="0.25">
      <c r="A49" s="545" t="s">
        <v>27</v>
      </c>
      <c r="B49" s="546" t="s">
        <v>135</v>
      </c>
      <c r="C49" t="s">
        <v>153</v>
      </c>
      <c r="D49" t="s">
        <v>154</v>
      </c>
      <c r="E49" t="str">
        <f t="shared" si="3"/>
        <v>B3020 Roof Openings_Skylights</v>
      </c>
      <c r="F49" s="46">
        <v>0.13986000000000001</v>
      </c>
      <c r="G49" s="3"/>
      <c r="H49" s="46">
        <v>0.41958000000000001</v>
      </c>
      <c r="I49" s="3"/>
      <c r="J49" s="46">
        <v>1.3986000000000001</v>
      </c>
      <c r="K49" s="3"/>
      <c r="L49" s="46">
        <v>2.7972000000000001</v>
      </c>
      <c r="M49" s="3" t="s">
        <v>52</v>
      </c>
      <c r="N49" s="46">
        <v>4.78</v>
      </c>
      <c r="O49" s="3" t="s">
        <v>52</v>
      </c>
      <c r="P49" s="52">
        <f>SUMIF('Physical Condition Assessment'!H49:N49,"X",'PCA Cost Tables - READ ONLY'!F49:L49)</f>
        <v>0</v>
      </c>
      <c r="Q49" s="4" t="s">
        <v>899</v>
      </c>
      <c r="S49" s="599"/>
      <c r="U49" s="599"/>
      <c r="W49" s="599"/>
      <c r="Y49" s="599"/>
    </row>
    <row r="50" spans="1:25" ht="16" thickBot="1" x14ac:dyDescent="0.25">
      <c r="A50" s="545" t="s">
        <v>27</v>
      </c>
      <c r="B50" s="546" t="s">
        <v>135</v>
      </c>
      <c r="C50" t="s">
        <v>153</v>
      </c>
      <c r="D50" t="s">
        <v>156</v>
      </c>
      <c r="E50" t="str">
        <f t="shared" si="3"/>
        <v>B3020 Roof Openings_Access Hatch</v>
      </c>
      <c r="F50" s="46">
        <v>368.75</v>
      </c>
      <c r="G50" s="3"/>
      <c r="H50" s="46">
        <v>737.5</v>
      </c>
      <c r="I50" s="3"/>
      <c r="J50" s="46">
        <v>2212.5</v>
      </c>
      <c r="K50" s="3"/>
      <c r="L50" s="46">
        <v>5162.5</v>
      </c>
      <c r="M50" s="3" t="s">
        <v>52</v>
      </c>
      <c r="N50" s="46">
        <v>0.33</v>
      </c>
      <c r="O50" s="3" t="s">
        <v>52</v>
      </c>
      <c r="P50" s="52">
        <f>SUMIF('Physical Condition Assessment'!H50:N50,"X",'PCA Cost Tables - READ ONLY'!F50:L50)</f>
        <v>0</v>
      </c>
      <c r="Q50" s="4" t="s">
        <v>900</v>
      </c>
      <c r="S50" s="599"/>
      <c r="U50" s="599"/>
      <c r="W50" s="599"/>
      <c r="Y50" s="599"/>
    </row>
    <row r="51" spans="1:25" x14ac:dyDescent="0.2">
      <c r="A51" s="14" t="s">
        <v>158</v>
      </c>
      <c r="B51" s="18"/>
      <c r="C51" s="15"/>
      <c r="D51" s="15"/>
      <c r="E51" s="15"/>
      <c r="F51" s="45"/>
      <c r="G51" s="17"/>
      <c r="H51" s="45"/>
      <c r="I51" s="17"/>
      <c r="J51" s="45"/>
      <c r="K51" s="17"/>
      <c r="L51" s="45"/>
      <c r="M51" s="17"/>
      <c r="N51" s="45"/>
      <c r="O51" s="17"/>
      <c r="P51" s="51"/>
      <c r="Q51" s="17"/>
      <c r="S51" s="599"/>
      <c r="U51" s="599"/>
      <c r="W51" s="599"/>
      <c r="Y51" s="599"/>
    </row>
    <row r="52" spans="1:25" ht="16" thickBot="1" x14ac:dyDescent="0.25">
      <c r="A52" s="6"/>
      <c r="B52" s="7"/>
      <c r="C52"/>
      <c r="D52"/>
      <c r="E52"/>
      <c r="F52" s="42"/>
      <c r="G52" s="3"/>
      <c r="H52" s="42"/>
      <c r="I52" s="3"/>
      <c r="J52" s="42"/>
      <c r="K52" s="3"/>
      <c r="L52" s="42"/>
      <c r="M52" s="3"/>
      <c r="N52" s="42"/>
      <c r="O52" s="3"/>
      <c r="P52" s="29"/>
      <c r="Q52" s="3"/>
      <c r="S52" s="599"/>
      <c r="U52" s="599"/>
      <c r="W52" s="599"/>
      <c r="Y52" s="599"/>
    </row>
    <row r="53" spans="1:25" ht="16" thickBot="1" x14ac:dyDescent="0.25">
      <c r="A53" s="545" t="s">
        <v>158</v>
      </c>
      <c r="B53" s="7" t="s">
        <v>159</v>
      </c>
      <c r="C53" t="s">
        <v>160</v>
      </c>
      <c r="D53" t="s">
        <v>161</v>
      </c>
      <c r="E53" t="str">
        <f t="shared" ref="E53:E63" si="4">C53&amp;"_"&amp;D53</f>
        <v>C1010 Partitions_Framed</v>
      </c>
      <c r="F53" s="46">
        <v>3.9682500000000003</v>
      </c>
      <c r="G53" s="3"/>
      <c r="H53" s="46">
        <v>11.904750000000002</v>
      </c>
      <c r="I53" s="3"/>
      <c r="J53" s="46">
        <v>19.841250000000002</v>
      </c>
      <c r="K53" s="3"/>
      <c r="L53" s="46">
        <v>24.888864000000002</v>
      </c>
      <c r="M53" s="3" t="s">
        <v>52</v>
      </c>
      <c r="N53" s="46">
        <v>50.68</v>
      </c>
      <c r="O53" s="3" t="s">
        <v>52</v>
      </c>
      <c r="P53" s="52">
        <f>SUMIF('Physical Condition Assessment'!H53:N53,"X",'PCA Cost Tables - READ ONLY'!F53:L53)</f>
        <v>0</v>
      </c>
      <c r="Q53" s="4"/>
      <c r="S53" s="599"/>
      <c r="U53" s="599"/>
      <c r="W53" s="599"/>
      <c r="Y53" s="599"/>
    </row>
    <row r="54" spans="1:25" ht="16" thickBot="1" x14ac:dyDescent="0.25">
      <c r="A54" s="545" t="s">
        <v>158</v>
      </c>
      <c r="B54" s="546" t="s">
        <v>159</v>
      </c>
      <c r="C54" t="s">
        <v>160</v>
      </c>
      <c r="D54" t="s">
        <v>102</v>
      </c>
      <c r="E54" t="str">
        <f t="shared" si="4"/>
        <v>C1010 Partitions_Masonry</v>
      </c>
      <c r="F54" s="46">
        <v>6.8109600000000006</v>
      </c>
      <c r="G54" s="3"/>
      <c r="H54" s="46">
        <v>12.443100000000001</v>
      </c>
      <c r="I54" s="3"/>
      <c r="J54" s="46">
        <v>23.903849999999998</v>
      </c>
      <c r="K54" s="3"/>
      <c r="L54" s="46">
        <v>38.219963999999997</v>
      </c>
      <c r="M54" s="3" t="s">
        <v>52</v>
      </c>
      <c r="N54" s="46">
        <v>64.180000000000007</v>
      </c>
      <c r="O54" s="3" t="s">
        <v>52</v>
      </c>
      <c r="P54" s="52">
        <f>SUMIF('Physical Condition Assessment'!H54:N54,"X",'PCA Cost Tables - READ ONLY'!F54:L54)</f>
        <v>0</v>
      </c>
      <c r="Q54" s="4"/>
      <c r="S54" s="599"/>
      <c r="U54" s="599"/>
      <c r="W54" s="599"/>
      <c r="Y54" s="599"/>
    </row>
    <row r="55" spans="1:25" ht="16" thickBot="1" x14ac:dyDescent="0.25">
      <c r="A55" s="545" t="s">
        <v>158</v>
      </c>
      <c r="B55" s="546" t="s">
        <v>159</v>
      </c>
      <c r="C55" t="s">
        <v>160</v>
      </c>
      <c r="D55" t="s">
        <v>121</v>
      </c>
      <c r="E55" t="str">
        <f t="shared" si="4"/>
        <v>C1010 Partitions_Curtain Wall</v>
      </c>
      <c r="F55" s="46">
        <v>3.843</v>
      </c>
      <c r="G55" s="3"/>
      <c r="H55" s="46">
        <v>15.372</v>
      </c>
      <c r="I55" s="3"/>
      <c r="J55" s="46">
        <v>76.86</v>
      </c>
      <c r="K55" s="3"/>
      <c r="L55" s="46">
        <v>384.3</v>
      </c>
      <c r="M55" s="3" t="s">
        <v>52</v>
      </c>
      <c r="N55" s="46">
        <v>250</v>
      </c>
      <c r="O55" s="3" t="s">
        <v>52</v>
      </c>
      <c r="P55" s="52">
        <f>SUMIF('Physical Condition Assessment'!H55:N55,"X",'PCA Cost Tables - READ ONLY'!F55:L55)</f>
        <v>0</v>
      </c>
      <c r="Q55" s="4"/>
      <c r="S55" s="599"/>
      <c r="U55" s="599"/>
      <c r="W55" s="599"/>
      <c r="Y55" s="599"/>
    </row>
    <row r="56" spans="1:25" ht="16" thickBot="1" x14ac:dyDescent="0.25">
      <c r="A56" s="545" t="s">
        <v>158</v>
      </c>
      <c r="B56" s="546" t="s">
        <v>159</v>
      </c>
      <c r="C56" t="s">
        <v>165</v>
      </c>
      <c r="D56" t="s">
        <v>83</v>
      </c>
      <c r="E56" t="str">
        <f t="shared" si="4"/>
        <v>C1020 Interior Doors_Wood</v>
      </c>
      <c r="F56" s="46">
        <v>446.875</v>
      </c>
      <c r="G56" s="3"/>
      <c r="H56" s="46">
        <v>1430</v>
      </c>
      <c r="I56" s="3"/>
      <c r="J56" s="46">
        <v>2323.75</v>
      </c>
      <c r="K56" s="3"/>
      <c r="L56" s="46">
        <v>3217.5</v>
      </c>
      <c r="M56" s="3" t="s">
        <v>52</v>
      </c>
      <c r="N56" s="46">
        <v>1800</v>
      </c>
      <c r="O56" s="3" t="s">
        <v>52</v>
      </c>
      <c r="P56" s="52">
        <f>SUMIF('Physical Condition Assessment'!H56:N56,"X",'PCA Cost Tables - READ ONLY'!F56:L56)</f>
        <v>0</v>
      </c>
      <c r="Q56" s="4" t="s">
        <v>896</v>
      </c>
      <c r="S56" s="599"/>
      <c r="U56" s="599"/>
      <c r="W56" s="599"/>
      <c r="Y56" s="599"/>
    </row>
    <row r="57" spans="1:25" ht="16" thickBot="1" x14ac:dyDescent="0.25">
      <c r="A57" s="545" t="s">
        <v>158</v>
      </c>
      <c r="B57" s="546" t="s">
        <v>159</v>
      </c>
      <c r="C57" t="s">
        <v>165</v>
      </c>
      <c r="D57" t="s">
        <v>127</v>
      </c>
      <c r="E57" t="str">
        <f t="shared" si="4"/>
        <v>C1020 Interior Doors_Hollow Metal</v>
      </c>
      <c r="F57" s="46">
        <v>446.875</v>
      </c>
      <c r="G57" s="3"/>
      <c r="H57" s="46">
        <v>1430</v>
      </c>
      <c r="I57" s="3"/>
      <c r="J57" s="46">
        <v>1966.25</v>
      </c>
      <c r="K57" s="3"/>
      <c r="L57" s="46">
        <v>2860</v>
      </c>
      <c r="M57" s="3" t="s">
        <v>52</v>
      </c>
      <c r="N57" s="46">
        <v>1600</v>
      </c>
      <c r="O57" s="3" t="s">
        <v>52</v>
      </c>
      <c r="P57" s="52">
        <f>SUMIF('Physical Condition Assessment'!H57:N57,"X",'PCA Cost Tables - READ ONLY'!F57:L57)</f>
        <v>0</v>
      </c>
      <c r="Q57" s="4" t="s">
        <v>897</v>
      </c>
      <c r="S57" s="599"/>
      <c r="U57" s="599"/>
      <c r="W57" s="599"/>
      <c r="Y57" s="599"/>
    </row>
    <row r="58" spans="1:25" ht="16" thickBot="1" x14ac:dyDescent="0.25">
      <c r="A58" s="545" t="s">
        <v>158</v>
      </c>
      <c r="B58" s="546" t="s">
        <v>159</v>
      </c>
      <c r="C58" t="s">
        <v>165</v>
      </c>
      <c r="D58" t="s">
        <v>129</v>
      </c>
      <c r="E58" t="str">
        <f t="shared" si="4"/>
        <v>C1020 Interior Doors_Storefront</v>
      </c>
      <c r="F58" s="46">
        <v>450.45</v>
      </c>
      <c r="G58" s="3"/>
      <c r="H58" s="46">
        <v>2162.16</v>
      </c>
      <c r="I58" s="3"/>
      <c r="J58" s="46">
        <v>4324.32</v>
      </c>
      <c r="K58" s="3"/>
      <c r="L58" s="46">
        <v>5405.4</v>
      </c>
      <c r="M58" s="3" t="s">
        <v>52</v>
      </c>
      <c r="N58" s="46">
        <v>3000</v>
      </c>
      <c r="O58" s="3" t="s">
        <v>52</v>
      </c>
      <c r="P58" s="52">
        <f>SUMIF('Physical Condition Assessment'!H58:N58,"X",'PCA Cost Tables - READ ONLY'!F58:L58)</f>
        <v>0</v>
      </c>
      <c r="Q58" s="4" t="s">
        <v>901</v>
      </c>
      <c r="S58" s="599"/>
      <c r="U58" s="599"/>
      <c r="W58" s="599"/>
      <c r="Y58" s="599"/>
    </row>
    <row r="59" spans="1:25" ht="16" thickBot="1" x14ac:dyDescent="0.25">
      <c r="A59" s="545" t="s">
        <v>158</v>
      </c>
      <c r="B59" s="546" t="s">
        <v>159</v>
      </c>
      <c r="C59" t="s">
        <v>165</v>
      </c>
      <c r="D59" t="s">
        <v>131</v>
      </c>
      <c r="E59" t="str">
        <f t="shared" si="4"/>
        <v>C1020 Interior Doors_Overhead Metal Garage</v>
      </c>
      <c r="F59" s="46">
        <v>268.125</v>
      </c>
      <c r="G59" s="3"/>
      <c r="H59" s="46">
        <v>536.25</v>
      </c>
      <c r="I59" s="3"/>
      <c r="J59" s="46">
        <v>1072.5</v>
      </c>
      <c r="K59" s="3"/>
      <c r="L59" s="46">
        <v>2681.25</v>
      </c>
      <c r="M59" s="3" t="s">
        <v>52</v>
      </c>
      <c r="N59" s="46">
        <v>1500</v>
      </c>
      <c r="O59" s="3" t="s">
        <v>52</v>
      </c>
      <c r="P59" s="52">
        <f>SUMIF('Physical Condition Assessment'!H59:N59,"X",'PCA Cost Tables - READ ONLY'!F59:L59)</f>
        <v>0</v>
      </c>
      <c r="Q59" s="4" t="s">
        <v>898</v>
      </c>
      <c r="S59" s="599"/>
      <c r="U59" s="599"/>
      <c r="W59" s="599"/>
      <c r="Y59" s="599"/>
    </row>
    <row r="60" spans="1:25" ht="16" thickBot="1" x14ac:dyDescent="0.25">
      <c r="A60" s="545" t="s">
        <v>158</v>
      </c>
      <c r="B60" s="546" t="s">
        <v>159</v>
      </c>
      <c r="C60" t="s">
        <v>165</v>
      </c>
      <c r="D60" t="s">
        <v>133</v>
      </c>
      <c r="E60" t="str">
        <f t="shared" si="4"/>
        <v xml:space="preserve">C1020 Interior Doors_Rollup Metal </v>
      </c>
      <c r="F60" s="46">
        <v>178.75</v>
      </c>
      <c r="G60" s="3"/>
      <c r="H60" s="46">
        <v>446.875</v>
      </c>
      <c r="I60" s="3"/>
      <c r="J60" s="46">
        <v>893.75</v>
      </c>
      <c r="K60" s="3"/>
      <c r="L60" s="46">
        <v>1787.5</v>
      </c>
      <c r="M60" s="3" t="s">
        <v>52</v>
      </c>
      <c r="N60" s="46">
        <v>1000</v>
      </c>
      <c r="O60" s="3" t="s">
        <v>52</v>
      </c>
      <c r="P60" s="52">
        <f>SUMIF('Physical Condition Assessment'!H60:N60,"X",'PCA Cost Tables - READ ONLY'!F60:L60)</f>
        <v>0</v>
      </c>
      <c r="Q60" s="4" t="s">
        <v>898</v>
      </c>
      <c r="S60" s="599"/>
      <c r="U60" s="599"/>
      <c r="W60" s="599"/>
      <c r="Y60" s="599"/>
    </row>
    <row r="61" spans="1:25" ht="16" thickBot="1" x14ac:dyDescent="0.25">
      <c r="A61" s="545" t="s">
        <v>158</v>
      </c>
      <c r="B61" s="546" t="s">
        <v>159</v>
      </c>
      <c r="C61" t="s">
        <v>171</v>
      </c>
      <c r="D61" s="3" t="s">
        <v>83</v>
      </c>
      <c r="E61" s="3" t="str">
        <f t="shared" si="4"/>
        <v>Interior Windows_Wood</v>
      </c>
      <c r="F61" s="46">
        <v>89.375</v>
      </c>
      <c r="G61" s="3"/>
      <c r="H61" s="46">
        <v>357.5</v>
      </c>
      <c r="I61" s="3"/>
      <c r="J61" s="46">
        <v>893.75</v>
      </c>
      <c r="K61" s="3"/>
      <c r="L61" s="46">
        <v>1787.5</v>
      </c>
      <c r="M61" s="3" t="s">
        <v>52</v>
      </c>
      <c r="N61" s="46">
        <v>1000</v>
      </c>
      <c r="O61" s="3" t="s">
        <v>52</v>
      </c>
      <c r="P61" s="52">
        <f>SUMIF('Physical Condition Assessment'!H61:N61,"X",'PCA Cost Tables - READ ONLY'!F61:L61)</f>
        <v>0</v>
      </c>
      <c r="Q61" s="4" t="s">
        <v>895</v>
      </c>
      <c r="S61" s="599"/>
      <c r="U61" s="599"/>
      <c r="W61" s="599"/>
      <c r="Y61" s="599"/>
    </row>
    <row r="62" spans="1:25" ht="16" thickBot="1" x14ac:dyDescent="0.25">
      <c r="A62" s="545" t="s">
        <v>158</v>
      </c>
      <c r="B62" s="546" t="s">
        <v>159</v>
      </c>
      <c r="C62" t="s">
        <v>171</v>
      </c>
      <c r="D62" s="3" t="s">
        <v>117</v>
      </c>
      <c r="E62" s="3" t="str">
        <f t="shared" si="4"/>
        <v>Interior Windows_Aluminum/Steel</v>
      </c>
      <c r="F62" s="46">
        <v>31.5</v>
      </c>
      <c r="G62" s="3"/>
      <c r="H62" s="46">
        <v>126</v>
      </c>
      <c r="I62" s="3"/>
      <c r="J62" s="46">
        <v>1102.5</v>
      </c>
      <c r="K62" s="3"/>
      <c r="L62" s="46">
        <v>2205</v>
      </c>
      <c r="M62" s="3" t="s">
        <v>52</v>
      </c>
      <c r="N62" s="46">
        <v>1400</v>
      </c>
      <c r="O62" s="3" t="s">
        <v>52</v>
      </c>
      <c r="P62" s="52">
        <f>SUMIF('Physical Condition Assessment'!H62:N62,"X",'PCA Cost Tables - READ ONLY'!F62:L62)</f>
        <v>0</v>
      </c>
      <c r="Q62" s="4" t="s">
        <v>895</v>
      </c>
      <c r="S62" s="599"/>
      <c r="U62" s="599"/>
      <c r="W62" s="599"/>
      <c r="Y62" s="599"/>
    </row>
    <row r="63" spans="1:25" ht="16" thickBot="1" x14ac:dyDescent="0.25">
      <c r="A63" s="545" t="s">
        <v>158</v>
      </c>
      <c r="B63" s="546" t="s">
        <v>159</v>
      </c>
      <c r="C63" t="s">
        <v>171</v>
      </c>
      <c r="D63" s="3" t="s">
        <v>119</v>
      </c>
      <c r="E63" s="3" t="str">
        <f t="shared" si="4"/>
        <v>Interior Windows_Clad</v>
      </c>
      <c r="F63" s="46">
        <v>115.29</v>
      </c>
      <c r="G63" s="3"/>
      <c r="H63" s="46">
        <v>461.16</v>
      </c>
      <c r="I63" s="3"/>
      <c r="J63" s="46">
        <v>1537.2</v>
      </c>
      <c r="K63" s="3"/>
      <c r="L63" s="46">
        <v>3074.4</v>
      </c>
      <c r="M63" s="3" t="s">
        <v>52</v>
      </c>
      <c r="N63" s="46">
        <v>2000</v>
      </c>
      <c r="O63" s="3" t="s">
        <v>52</v>
      </c>
      <c r="P63" s="52">
        <f>SUMIF('Physical Condition Assessment'!H63:N63,"X",'PCA Cost Tables - READ ONLY'!F63:L63)</f>
        <v>0</v>
      </c>
      <c r="Q63" s="4" t="s">
        <v>895</v>
      </c>
      <c r="S63" s="599"/>
      <c r="U63" s="599"/>
      <c r="W63" s="599"/>
      <c r="Y63" s="599"/>
    </row>
    <row r="64" spans="1:25" ht="16" thickBot="1" x14ac:dyDescent="0.25">
      <c r="A64" s="545"/>
      <c r="B64" s="7"/>
      <c r="C64"/>
      <c r="D64"/>
      <c r="E64"/>
      <c r="F64" s="42"/>
      <c r="G64" s="3"/>
      <c r="H64" s="42"/>
      <c r="I64" s="3"/>
      <c r="J64" s="68"/>
      <c r="K64" s="3"/>
      <c r="L64" s="42"/>
      <c r="M64" s="3"/>
      <c r="N64" s="42"/>
      <c r="O64" s="3"/>
      <c r="P64" s="29"/>
      <c r="Q64" s="3"/>
      <c r="S64" s="599"/>
      <c r="U64" s="599"/>
      <c r="W64" s="599"/>
      <c r="Y64" s="599"/>
    </row>
    <row r="65" spans="1:25" ht="16" thickBot="1" x14ac:dyDescent="0.25">
      <c r="A65" s="545" t="s">
        <v>158</v>
      </c>
      <c r="B65" s="7" t="s">
        <v>175</v>
      </c>
      <c r="C65" t="s">
        <v>176</v>
      </c>
      <c r="D65" t="s">
        <v>83</v>
      </c>
      <c r="E65" t="str">
        <f t="shared" ref="E65:E71" si="5">C65&amp;"_"&amp;D65</f>
        <v>C2010 Stair Construction_Wood</v>
      </c>
      <c r="F65" s="46">
        <v>893.75</v>
      </c>
      <c r="G65" s="3"/>
      <c r="H65" s="46">
        <v>8937.5</v>
      </c>
      <c r="I65" s="3"/>
      <c r="J65" s="46">
        <v>19662.5</v>
      </c>
      <c r="K65" s="3"/>
      <c r="L65" s="46">
        <v>44687.5</v>
      </c>
      <c r="M65" s="3" t="s">
        <v>52</v>
      </c>
      <c r="N65" s="46">
        <v>2.34</v>
      </c>
      <c r="O65" s="3" t="s">
        <v>52</v>
      </c>
      <c r="P65" s="52">
        <f>SUMIF('Physical Condition Assessment'!H65:N65,"X",'PCA Cost Tables - READ ONLY'!F65:L65)</f>
        <v>0</v>
      </c>
      <c r="Q65" s="4" t="s">
        <v>902</v>
      </c>
      <c r="S65" s="599"/>
      <c r="U65" s="599"/>
      <c r="W65" s="599"/>
      <c r="Y65" s="599"/>
    </row>
    <row r="66" spans="1:25" ht="16" thickBot="1" x14ac:dyDescent="0.25">
      <c r="A66" s="545" t="s">
        <v>158</v>
      </c>
      <c r="B66" s="546" t="s">
        <v>175</v>
      </c>
      <c r="C66" t="s">
        <v>176</v>
      </c>
      <c r="D66" t="s">
        <v>149</v>
      </c>
      <c r="E66" t="str">
        <f t="shared" si="5"/>
        <v>C2010 Stair Construction_Metal</v>
      </c>
      <c r="F66" s="46">
        <v>1340.625</v>
      </c>
      <c r="G66" s="3"/>
      <c r="H66" s="46">
        <v>8937.5</v>
      </c>
      <c r="I66" s="3"/>
      <c r="J66" s="46">
        <v>26812.5</v>
      </c>
      <c r="K66" s="3"/>
      <c r="L66" s="46">
        <v>53625</v>
      </c>
      <c r="M66" s="3" t="s">
        <v>52</v>
      </c>
      <c r="N66" s="46">
        <v>2.4</v>
      </c>
      <c r="O66" s="3" t="s">
        <v>52</v>
      </c>
      <c r="P66" s="52">
        <f>SUMIF('Physical Condition Assessment'!H66:N66,"X",'PCA Cost Tables - READ ONLY'!F66:L66)</f>
        <v>0</v>
      </c>
      <c r="Q66" s="4" t="s">
        <v>902</v>
      </c>
      <c r="S66" s="599"/>
      <c r="U66" s="599"/>
      <c r="W66" s="599"/>
      <c r="Y66" s="599"/>
    </row>
    <row r="67" spans="1:25" ht="16" thickBot="1" x14ac:dyDescent="0.25">
      <c r="A67" s="545" t="s">
        <v>158</v>
      </c>
      <c r="B67" s="546" t="s">
        <v>175</v>
      </c>
      <c r="C67" t="s">
        <v>176</v>
      </c>
      <c r="D67" t="s">
        <v>88</v>
      </c>
      <c r="E67" t="str">
        <f t="shared" si="5"/>
        <v>C2010 Stair Construction_Concrete</v>
      </c>
      <c r="F67" s="46">
        <v>885</v>
      </c>
      <c r="G67" s="3"/>
      <c r="H67" s="46">
        <v>8850</v>
      </c>
      <c r="I67" s="3"/>
      <c r="J67" s="46">
        <v>23600</v>
      </c>
      <c r="K67" s="3"/>
      <c r="L67" s="46">
        <v>41300</v>
      </c>
      <c r="M67" s="3" t="s">
        <v>52</v>
      </c>
      <c r="N67" s="46">
        <v>4.92</v>
      </c>
      <c r="O67" s="3" t="s">
        <v>52</v>
      </c>
      <c r="P67" s="52">
        <f>SUMIF('Physical Condition Assessment'!H67:N67,"X",'PCA Cost Tables - READ ONLY'!F67:L67)</f>
        <v>0</v>
      </c>
      <c r="Q67" s="4" t="s">
        <v>902</v>
      </c>
      <c r="S67" s="599"/>
      <c r="U67" s="599"/>
      <c r="W67" s="599"/>
      <c r="Y67" s="599"/>
    </row>
    <row r="68" spans="1:25" ht="16" thickBot="1" x14ac:dyDescent="0.25">
      <c r="A68" s="545" t="s">
        <v>158</v>
      </c>
      <c r="B68" s="546" t="s">
        <v>175</v>
      </c>
      <c r="C68" t="s">
        <v>180</v>
      </c>
      <c r="D68" t="s">
        <v>181</v>
      </c>
      <c r="E68" t="str">
        <f t="shared" si="5"/>
        <v>C2020 Stair Finishes_Concrete Fill</v>
      </c>
      <c r="F68" s="46">
        <v>982.35000000000014</v>
      </c>
      <c r="G68" s="3"/>
      <c r="H68" s="46">
        <v>1964.7000000000003</v>
      </c>
      <c r="I68" s="3"/>
      <c r="J68" s="46">
        <v>3929.4000000000005</v>
      </c>
      <c r="K68" s="3"/>
      <c r="L68" s="46">
        <v>6549.0000000000009</v>
      </c>
      <c r="M68" s="3" t="s">
        <v>52</v>
      </c>
      <c r="N68" s="46">
        <v>1.96</v>
      </c>
      <c r="O68" s="3" t="s">
        <v>52</v>
      </c>
      <c r="P68" s="52">
        <f>SUMIF('Physical Condition Assessment'!H68:N68,"X",'PCA Cost Tables - READ ONLY'!F68:L68)</f>
        <v>0</v>
      </c>
      <c r="Q68" s="4" t="s">
        <v>902</v>
      </c>
      <c r="S68" s="599"/>
      <c r="U68" s="599"/>
      <c r="W68" s="599"/>
      <c r="Y68" s="599"/>
    </row>
    <row r="69" spans="1:25" ht="16" thickBot="1" x14ac:dyDescent="0.25">
      <c r="A69" s="545" t="s">
        <v>158</v>
      </c>
      <c r="B69" s="546" t="s">
        <v>175</v>
      </c>
      <c r="C69" t="s">
        <v>180</v>
      </c>
      <c r="D69" t="s">
        <v>183</v>
      </c>
      <c r="E69" t="str">
        <f t="shared" si="5"/>
        <v>C2020 Stair Finishes_Resilient</v>
      </c>
      <c r="F69" s="46">
        <v>654.9</v>
      </c>
      <c r="G69" s="3"/>
      <c r="H69" s="46">
        <v>982.35000000000014</v>
      </c>
      <c r="I69" s="3"/>
      <c r="J69" s="46">
        <v>1964.7000000000003</v>
      </c>
      <c r="K69" s="3"/>
      <c r="L69" s="46">
        <v>3274.5000000000005</v>
      </c>
      <c r="M69" s="3" t="s">
        <v>52</v>
      </c>
      <c r="N69" s="46">
        <v>1.5</v>
      </c>
      <c r="O69" s="3" t="s">
        <v>52</v>
      </c>
      <c r="P69" s="52">
        <f>SUMIF('Physical Condition Assessment'!H69:N69,"X",'PCA Cost Tables - READ ONLY'!F69:L69)</f>
        <v>0</v>
      </c>
      <c r="Q69" s="4" t="s">
        <v>902</v>
      </c>
      <c r="S69" s="599"/>
      <c r="U69" s="599"/>
      <c r="W69" s="599"/>
      <c r="Y69" s="599"/>
    </row>
    <row r="70" spans="1:25" ht="16" thickBot="1" x14ac:dyDescent="0.25">
      <c r="A70" s="545" t="s">
        <v>158</v>
      </c>
      <c r="B70" s="546" t="s">
        <v>175</v>
      </c>
      <c r="C70" t="s">
        <v>180</v>
      </c>
      <c r="D70" t="s">
        <v>83</v>
      </c>
      <c r="E70" t="str">
        <f t="shared" si="5"/>
        <v>C2020 Stair Finishes_Wood</v>
      </c>
      <c r="F70" s="46">
        <v>793.65</v>
      </c>
      <c r="G70" s="3"/>
      <c r="H70" s="46">
        <v>1587.3</v>
      </c>
      <c r="I70" s="3"/>
      <c r="J70" s="46">
        <v>2380.9500000000003</v>
      </c>
      <c r="K70" s="3"/>
      <c r="L70" s="46">
        <v>3968.2500000000005</v>
      </c>
      <c r="M70" s="3" t="s">
        <v>52</v>
      </c>
      <c r="N70" s="46">
        <v>1.5</v>
      </c>
      <c r="O70" s="3" t="s">
        <v>52</v>
      </c>
      <c r="P70" s="52">
        <f>SUMIF('Physical Condition Assessment'!H70:N70,"X",'PCA Cost Tables - READ ONLY'!F70:L70)</f>
        <v>0</v>
      </c>
      <c r="Q70" s="4" t="s">
        <v>902</v>
      </c>
      <c r="S70" s="599"/>
      <c r="U70" s="599"/>
      <c r="W70" s="599"/>
      <c r="Y70" s="599"/>
    </row>
    <row r="71" spans="1:25" ht="16" thickBot="1" x14ac:dyDescent="0.25">
      <c r="A71" s="545" t="s">
        <v>158</v>
      </c>
      <c r="B71" s="546" t="s">
        <v>175</v>
      </c>
      <c r="C71" t="s">
        <v>180</v>
      </c>
      <c r="D71" t="s">
        <v>186</v>
      </c>
      <c r="E71" t="str">
        <f t="shared" si="5"/>
        <v>C2020 Stair Finishes_Metal Grating</v>
      </c>
      <c r="F71" s="46">
        <v>952.38000000000011</v>
      </c>
      <c r="G71" s="3"/>
      <c r="H71" s="46">
        <v>1904.7600000000002</v>
      </c>
      <c r="I71" s="3"/>
      <c r="J71" s="46">
        <v>3174.6</v>
      </c>
      <c r="K71" s="3"/>
      <c r="L71" s="46">
        <v>4761.9000000000005</v>
      </c>
      <c r="M71" s="3" t="s">
        <v>52</v>
      </c>
      <c r="N71" s="46">
        <v>1.5</v>
      </c>
      <c r="O71" s="3" t="s">
        <v>52</v>
      </c>
      <c r="P71" s="52">
        <f>SUMIF('Physical Condition Assessment'!H71:N71,"X",'PCA Cost Tables - READ ONLY'!F71:L71)</f>
        <v>0</v>
      </c>
      <c r="Q71" s="4" t="s">
        <v>902</v>
      </c>
      <c r="S71" s="599"/>
      <c r="U71" s="599"/>
      <c r="W71" s="599"/>
      <c r="Y71" s="599"/>
    </row>
    <row r="72" spans="1:25" ht="16" thickBot="1" x14ac:dyDescent="0.25">
      <c r="A72" s="545"/>
      <c r="B72" s="7"/>
      <c r="C72"/>
      <c r="D72"/>
      <c r="E72"/>
      <c r="F72" s="42"/>
      <c r="G72" s="3"/>
      <c r="H72" s="42"/>
      <c r="I72" s="3"/>
      <c r="J72" s="68"/>
      <c r="K72" s="3"/>
      <c r="L72" s="42"/>
      <c r="M72" s="3"/>
      <c r="N72" s="42"/>
      <c r="O72" s="3"/>
      <c r="P72" s="29"/>
      <c r="Q72" s="3"/>
      <c r="S72" s="599"/>
      <c r="U72" s="599"/>
      <c r="W72" s="599"/>
      <c r="Y72" s="599"/>
    </row>
    <row r="73" spans="1:25" ht="16" thickBot="1" x14ac:dyDescent="0.25">
      <c r="A73" s="545" t="s">
        <v>158</v>
      </c>
      <c r="B73" s="7" t="s">
        <v>188</v>
      </c>
      <c r="C73" t="s">
        <v>189</v>
      </c>
      <c r="D73" t="s">
        <v>190</v>
      </c>
      <c r="E73" t="str">
        <f>C73&amp;"_"&amp;D73</f>
        <v>C3010 Wall Finishes_Paint on Masonry</v>
      </c>
      <c r="F73" s="46">
        <v>2.9339520000000006</v>
      </c>
      <c r="G73" s="3"/>
      <c r="H73" s="46">
        <v>4.1913600000000004</v>
      </c>
      <c r="I73" s="3"/>
      <c r="J73" s="46">
        <v>5.1082200000000002</v>
      </c>
      <c r="K73" s="3"/>
      <c r="L73" s="46">
        <v>5.7238260000000007</v>
      </c>
      <c r="M73" s="3" t="s">
        <v>52</v>
      </c>
      <c r="N73" s="46">
        <v>5.37</v>
      </c>
      <c r="O73" s="3" t="s">
        <v>52</v>
      </c>
      <c r="P73" s="52">
        <f>SUMIF('Physical Condition Assessment'!H73:N73,"X",'PCA Cost Tables - READ ONLY'!F73:L73)</f>
        <v>0</v>
      </c>
      <c r="Q73" s="4"/>
      <c r="S73" s="599"/>
      <c r="U73" s="599"/>
      <c r="W73" s="599"/>
      <c r="Y73" s="599"/>
    </row>
    <row r="74" spans="1:25" ht="16" thickBot="1" x14ac:dyDescent="0.25">
      <c r="A74" s="545" t="s">
        <v>158</v>
      </c>
      <c r="B74" s="546" t="s">
        <v>188</v>
      </c>
      <c r="C74" t="s">
        <v>189</v>
      </c>
      <c r="D74" t="s">
        <v>192</v>
      </c>
      <c r="E74" t="str">
        <f>C74&amp;"_"&amp;D74</f>
        <v>C3010 Wall Finishes_Wallboard</v>
      </c>
      <c r="F74" s="46">
        <v>2.6457960000000003</v>
      </c>
      <c r="G74" s="3"/>
      <c r="H74" s="46">
        <v>3.2221080000000004</v>
      </c>
      <c r="I74" s="3"/>
      <c r="J74" s="46">
        <v>6.8764500000000002</v>
      </c>
      <c r="K74" s="3"/>
      <c r="L74" s="46">
        <v>10.556988000000002</v>
      </c>
      <c r="M74" s="3" t="s">
        <v>52</v>
      </c>
      <c r="N74" s="46">
        <v>9.06</v>
      </c>
      <c r="O74" s="3" t="s">
        <v>52</v>
      </c>
      <c r="P74" s="52">
        <f>SUMIF('Physical Condition Assessment'!H74:N74,"X",'PCA Cost Tables - READ ONLY'!F74:L74)</f>
        <v>0</v>
      </c>
      <c r="Q74" s="4"/>
      <c r="S74" s="599"/>
      <c r="U74" s="599"/>
      <c r="W74" s="599"/>
      <c r="Y74" s="599"/>
    </row>
    <row r="75" spans="1:25" ht="16" thickBot="1" x14ac:dyDescent="0.25">
      <c r="A75" s="545" t="s">
        <v>158</v>
      </c>
      <c r="B75" s="546" t="s">
        <v>188</v>
      </c>
      <c r="C75" t="s">
        <v>189</v>
      </c>
      <c r="D75" t="s">
        <v>194</v>
      </c>
      <c r="E75" t="str">
        <f t="shared" ref="E75:E138" si="6">C75&amp;"_"&amp;D75</f>
        <v>C3010 Wall Finishes_Wainscot</v>
      </c>
      <c r="F75" s="46">
        <v>2.6457960000000003</v>
      </c>
      <c r="G75" s="3"/>
      <c r="H75" s="46">
        <v>3.5364600000000004</v>
      </c>
      <c r="I75" s="3"/>
      <c r="J75" s="46">
        <v>7.0729200000000008</v>
      </c>
      <c r="K75" s="3"/>
      <c r="L75" s="46">
        <v>11.1333</v>
      </c>
      <c r="M75" s="3" t="s">
        <v>52</v>
      </c>
      <c r="N75" s="46">
        <v>8.5</v>
      </c>
      <c r="O75" s="3" t="s">
        <v>52</v>
      </c>
      <c r="P75" s="52">
        <f>SUMIF('Physical Condition Assessment'!H75:N75,"X",'PCA Cost Tables - READ ONLY'!F75:L75)</f>
        <v>0</v>
      </c>
      <c r="Q75" s="4"/>
      <c r="S75" s="599"/>
      <c r="U75" s="599"/>
      <c r="W75" s="599"/>
      <c r="Y75" s="599"/>
    </row>
    <row r="76" spans="1:25" ht="16" thickBot="1" x14ac:dyDescent="0.25">
      <c r="A76" s="545" t="s">
        <v>158</v>
      </c>
      <c r="B76" s="546" t="s">
        <v>188</v>
      </c>
      <c r="C76" t="s">
        <v>189</v>
      </c>
      <c r="D76" t="s">
        <v>196</v>
      </c>
      <c r="E76" t="str">
        <f t="shared" si="6"/>
        <v>C3010 Wall Finishes_Wood Paneling</v>
      </c>
      <c r="F76" s="46">
        <v>3.2063460000000004</v>
      </c>
      <c r="G76" s="3"/>
      <c r="H76" s="46">
        <v>11.904750000000002</v>
      </c>
      <c r="I76" s="3"/>
      <c r="J76" s="46">
        <v>15.873000000000001</v>
      </c>
      <c r="K76" s="3"/>
      <c r="L76" s="46">
        <v>23.809500000000003</v>
      </c>
      <c r="M76" s="3" t="s">
        <v>52</v>
      </c>
      <c r="N76" s="46">
        <v>15</v>
      </c>
      <c r="O76" s="3" t="s">
        <v>52</v>
      </c>
      <c r="P76" s="52">
        <f>SUMIF('Physical Condition Assessment'!H76:N76,"X",'PCA Cost Tables - READ ONLY'!F76:L76)</f>
        <v>0</v>
      </c>
      <c r="Q76" s="4"/>
      <c r="S76" s="599"/>
      <c r="U76" s="599"/>
      <c r="W76" s="599"/>
      <c r="Y76" s="599"/>
    </row>
    <row r="77" spans="1:25" ht="16" thickBot="1" x14ac:dyDescent="0.25">
      <c r="A77" s="545" t="s">
        <v>158</v>
      </c>
      <c r="B77" s="546" t="s">
        <v>188</v>
      </c>
      <c r="C77" t="s">
        <v>189</v>
      </c>
      <c r="D77" t="s">
        <v>198</v>
      </c>
      <c r="E77" t="str">
        <f t="shared" si="6"/>
        <v>C3010 Wall Finishes_Vinyl Paneling</v>
      </c>
      <c r="F77" s="46">
        <v>2.6457960000000003</v>
      </c>
      <c r="G77" s="3"/>
      <c r="H77" s="46">
        <v>9.6270299999999995</v>
      </c>
      <c r="I77" s="3"/>
      <c r="J77" s="46">
        <v>12.770550000000002</v>
      </c>
      <c r="K77" s="3"/>
      <c r="L77" s="46">
        <v>15.717599999999999</v>
      </c>
      <c r="M77" s="3" t="s">
        <v>52</v>
      </c>
      <c r="N77" s="46">
        <v>12</v>
      </c>
      <c r="O77" s="3" t="s">
        <v>52</v>
      </c>
      <c r="P77" s="52">
        <f>SUMIF('Physical Condition Assessment'!H77:N77,"X",'PCA Cost Tables - READ ONLY'!F77:L77)</f>
        <v>0</v>
      </c>
      <c r="Q77" s="4"/>
      <c r="S77" s="599"/>
      <c r="U77" s="599"/>
      <c r="W77" s="599"/>
      <c r="Y77" s="599"/>
    </row>
    <row r="78" spans="1:25" ht="16" thickBot="1" x14ac:dyDescent="0.25">
      <c r="A78" s="545" t="s">
        <v>158</v>
      </c>
      <c r="B78" s="546" t="s">
        <v>188</v>
      </c>
      <c r="C78" t="s">
        <v>189</v>
      </c>
      <c r="D78" t="s">
        <v>200</v>
      </c>
      <c r="E78" t="str">
        <f t="shared" si="6"/>
        <v>C3010 Wall Finishes_Formica</v>
      </c>
      <c r="F78" s="46">
        <v>3.4965000000000006</v>
      </c>
      <c r="G78" s="3"/>
      <c r="H78" s="46">
        <v>10.839150000000002</v>
      </c>
      <c r="I78" s="3"/>
      <c r="J78" s="46">
        <v>13.986000000000002</v>
      </c>
      <c r="K78" s="3"/>
      <c r="L78" s="46">
        <v>20.979000000000003</v>
      </c>
      <c r="M78" s="3" t="s">
        <v>52</v>
      </c>
      <c r="N78" s="46">
        <v>15</v>
      </c>
      <c r="O78" s="3" t="s">
        <v>52</v>
      </c>
      <c r="P78" s="52">
        <f>SUMIF('Physical Condition Assessment'!H78:N78,"X",'PCA Cost Tables - READ ONLY'!F78:L78)</f>
        <v>0</v>
      </c>
      <c r="Q78" s="4"/>
      <c r="S78" s="599"/>
      <c r="U78" s="599"/>
      <c r="W78" s="599"/>
      <c r="Y78" s="599"/>
    </row>
    <row r="79" spans="1:25" ht="16" thickBot="1" x14ac:dyDescent="0.25">
      <c r="A79" s="545" t="s">
        <v>158</v>
      </c>
      <c r="B79" s="546" t="s">
        <v>188</v>
      </c>
      <c r="C79" t="s">
        <v>189</v>
      </c>
      <c r="D79" t="s">
        <v>202</v>
      </c>
      <c r="E79" t="str">
        <f t="shared" si="6"/>
        <v>C3010 Wall Finishes_Ceramic Tile</v>
      </c>
      <c r="F79" s="46">
        <v>1.17882</v>
      </c>
      <c r="G79" s="3"/>
      <c r="H79" s="46">
        <v>1.57176</v>
      </c>
      <c r="I79" s="3"/>
      <c r="J79" s="46">
        <v>2.6196000000000002</v>
      </c>
      <c r="K79" s="3"/>
      <c r="L79" s="46">
        <v>3.182814</v>
      </c>
      <c r="M79" s="3" t="s">
        <v>52</v>
      </c>
      <c r="N79" s="46">
        <v>3.43</v>
      </c>
      <c r="O79" s="3" t="s">
        <v>52</v>
      </c>
      <c r="P79" s="52">
        <f>SUMIF('Physical Condition Assessment'!H79:N79,"X",'PCA Cost Tables - READ ONLY'!F79:L79)</f>
        <v>0</v>
      </c>
      <c r="Q79" s="4"/>
      <c r="S79" s="599"/>
      <c r="U79" s="599"/>
      <c r="W79" s="599"/>
      <c r="Y79" s="599"/>
    </row>
    <row r="80" spans="1:25" ht="16" thickBot="1" x14ac:dyDescent="0.25">
      <c r="A80" s="545" t="s">
        <v>158</v>
      </c>
      <c r="B80" s="546" t="s">
        <v>188</v>
      </c>
      <c r="C80" t="s">
        <v>204</v>
      </c>
      <c r="D80" t="s">
        <v>205</v>
      </c>
      <c r="E80" t="str">
        <f t="shared" si="6"/>
        <v>C3020 Floor Finishes_Carpet / Soft Surface</v>
      </c>
      <c r="F80" s="46">
        <v>0.39294000000000001</v>
      </c>
      <c r="G80" s="3"/>
      <c r="H80" s="46">
        <v>5.2392000000000003</v>
      </c>
      <c r="I80" s="3"/>
      <c r="J80" s="46">
        <v>8.7494639999999997</v>
      </c>
      <c r="K80" s="3"/>
      <c r="L80" s="46">
        <v>11.369064</v>
      </c>
      <c r="M80" s="3" t="s">
        <v>52</v>
      </c>
      <c r="N80" s="46">
        <v>8.68</v>
      </c>
      <c r="O80" s="3" t="s">
        <v>52</v>
      </c>
      <c r="P80" s="52">
        <f>SUMIF('Physical Condition Assessment'!H80:N80,"X",'PCA Cost Tables - READ ONLY'!F80:L80)</f>
        <v>0</v>
      </c>
      <c r="Q80" s="4"/>
      <c r="S80" s="599"/>
      <c r="U80" s="599"/>
      <c r="W80" s="599"/>
      <c r="Y80" s="599"/>
    </row>
    <row r="81" spans="1:25" ht="16" thickBot="1" x14ac:dyDescent="0.25">
      <c r="A81" s="545" t="s">
        <v>158</v>
      </c>
      <c r="B81" s="546" t="s">
        <v>188</v>
      </c>
      <c r="C81" t="s">
        <v>204</v>
      </c>
      <c r="D81" t="s">
        <v>208</v>
      </c>
      <c r="E81" t="str">
        <f t="shared" si="6"/>
        <v>C3020 Floor Finishes_Resilient Tile</v>
      </c>
      <c r="F81" s="46">
        <v>1.3228980000000001</v>
      </c>
      <c r="G81" s="3"/>
      <c r="H81" s="46">
        <v>2.9470499999999999</v>
      </c>
      <c r="I81" s="3"/>
      <c r="J81" s="46">
        <v>6.2346479999999991</v>
      </c>
      <c r="K81" s="3"/>
      <c r="L81" s="46">
        <v>8.9066399999999994</v>
      </c>
      <c r="M81" s="3" t="s">
        <v>52</v>
      </c>
      <c r="N81" s="46">
        <v>8.8000000000000007</v>
      </c>
      <c r="O81" s="3" t="s">
        <v>52</v>
      </c>
      <c r="P81" s="52">
        <f>SUMIF('Physical Condition Assessment'!H81:N81,"X",'PCA Cost Tables - READ ONLY'!F81:L81)</f>
        <v>0</v>
      </c>
      <c r="Q81" s="4"/>
      <c r="S81" s="599"/>
      <c r="U81" s="599"/>
      <c r="W81" s="599"/>
      <c r="Y81" s="599"/>
    </row>
    <row r="82" spans="1:25" ht="16" thickBot="1" x14ac:dyDescent="0.25">
      <c r="A82" s="545" t="s">
        <v>158</v>
      </c>
      <c r="B82" s="546" t="s">
        <v>188</v>
      </c>
      <c r="C82" t="s">
        <v>204</v>
      </c>
      <c r="D82" t="s">
        <v>210</v>
      </c>
      <c r="E82" t="str">
        <f t="shared" si="6"/>
        <v>C3020 Floor Finishes_Resilient Sheet</v>
      </c>
      <c r="F82" s="46">
        <v>2.6457960000000003</v>
      </c>
      <c r="G82" s="3"/>
      <c r="H82" s="46">
        <v>7.8587999999999996</v>
      </c>
      <c r="I82" s="3"/>
      <c r="J82" s="46">
        <v>15.717599999999999</v>
      </c>
      <c r="K82" s="3"/>
      <c r="L82" s="46">
        <v>18.337199999999999</v>
      </c>
      <c r="M82" s="3" t="s">
        <v>52</v>
      </c>
      <c r="N82" s="46">
        <v>14</v>
      </c>
      <c r="O82" s="3" t="s">
        <v>52</v>
      </c>
      <c r="P82" s="52">
        <f>SUMIF('Physical Condition Assessment'!H82:N82,"X",'PCA Cost Tables - READ ONLY'!F82:L82)</f>
        <v>0</v>
      </c>
      <c r="Q82" s="4"/>
      <c r="S82" s="599"/>
      <c r="U82" s="599"/>
      <c r="W82" s="599"/>
      <c r="Y82" s="599"/>
    </row>
    <row r="83" spans="1:25" ht="16" thickBot="1" x14ac:dyDescent="0.25">
      <c r="A83" s="545" t="s">
        <v>158</v>
      </c>
      <c r="B83" s="546" t="s">
        <v>188</v>
      </c>
      <c r="C83" t="s">
        <v>204</v>
      </c>
      <c r="D83" t="s">
        <v>212</v>
      </c>
      <c r="E83" t="str">
        <f t="shared" si="6"/>
        <v>C3020 Floor Finishes_Polished Concrete</v>
      </c>
      <c r="F83" s="46">
        <v>2.6457960000000003</v>
      </c>
      <c r="G83" s="3"/>
      <c r="H83" s="46">
        <v>6.2215500000000006</v>
      </c>
      <c r="I83" s="3"/>
      <c r="J83" s="46">
        <v>11.7882</v>
      </c>
      <c r="K83" s="3"/>
      <c r="L83" s="46">
        <v>14.4078</v>
      </c>
      <c r="M83" s="3" t="s">
        <v>52</v>
      </c>
      <c r="N83" s="46">
        <v>11</v>
      </c>
      <c r="O83" s="3" t="s">
        <v>52</v>
      </c>
      <c r="P83" s="52">
        <f>SUMIF('Physical Condition Assessment'!H83:N83,"X",'PCA Cost Tables - READ ONLY'!F83:L83)</f>
        <v>0</v>
      </c>
      <c r="Q83" s="4"/>
      <c r="S83" s="599"/>
      <c r="U83" s="599"/>
      <c r="W83" s="599"/>
      <c r="Y83" s="599"/>
    </row>
    <row r="84" spans="1:25" ht="16" thickBot="1" x14ac:dyDescent="0.25">
      <c r="A84" s="545" t="s">
        <v>158</v>
      </c>
      <c r="B84" s="546" t="s">
        <v>188</v>
      </c>
      <c r="C84" t="s">
        <v>204</v>
      </c>
      <c r="D84" t="s">
        <v>202</v>
      </c>
      <c r="E84" t="str">
        <f t="shared" si="6"/>
        <v>C3020 Floor Finishes_Ceramic Tile</v>
      </c>
      <c r="F84" s="46">
        <v>4.9903380000000004</v>
      </c>
      <c r="G84" s="3"/>
      <c r="H84" s="46">
        <v>15.717599999999999</v>
      </c>
      <c r="I84" s="3"/>
      <c r="J84" s="46">
        <v>32.928372000000003</v>
      </c>
      <c r="K84" s="3"/>
      <c r="L84" s="46">
        <v>35.547972000000001</v>
      </c>
      <c r="M84" s="3" t="s">
        <v>52</v>
      </c>
      <c r="N84" s="46">
        <v>27.14</v>
      </c>
      <c r="O84" s="3" t="s">
        <v>52</v>
      </c>
      <c r="P84" s="52">
        <f>SUMIF('Physical Condition Assessment'!H84:N84,"X",'PCA Cost Tables - READ ONLY'!F84:L84)</f>
        <v>0</v>
      </c>
      <c r="Q84" s="4"/>
      <c r="S84" s="599"/>
      <c r="U84" s="599"/>
      <c r="W84" s="599"/>
      <c r="Y84" s="599"/>
    </row>
    <row r="85" spans="1:25" ht="16" thickBot="1" x14ac:dyDescent="0.25">
      <c r="A85" s="545" t="s">
        <v>158</v>
      </c>
      <c r="B85" s="546" t="s">
        <v>188</v>
      </c>
      <c r="C85" t="s">
        <v>204</v>
      </c>
      <c r="D85" t="s">
        <v>215</v>
      </c>
      <c r="E85" t="str">
        <f t="shared" si="6"/>
        <v>C3020 Floor Finishes_Liquid Applied</v>
      </c>
      <c r="F85" s="46">
        <v>5.2392000000000003</v>
      </c>
      <c r="G85" s="3"/>
      <c r="H85" s="46">
        <v>10.334322</v>
      </c>
      <c r="I85" s="3"/>
      <c r="J85" s="46">
        <v>18.481278</v>
      </c>
      <c r="K85" s="3"/>
      <c r="L85" s="46">
        <v>21.100878000000002</v>
      </c>
      <c r="M85" s="3" t="s">
        <v>52</v>
      </c>
      <c r="N85" s="46">
        <v>16.11</v>
      </c>
      <c r="O85" s="3" t="s">
        <v>52</v>
      </c>
      <c r="P85" s="52">
        <f>SUMIF('Physical Condition Assessment'!H85:N85,"X",'PCA Cost Tables - READ ONLY'!F85:L85)</f>
        <v>0</v>
      </c>
      <c r="Q85" s="4"/>
      <c r="S85" s="599"/>
      <c r="U85" s="599"/>
      <c r="W85" s="599"/>
      <c r="Y85" s="599"/>
    </row>
    <row r="86" spans="1:25" ht="16" thickBot="1" x14ac:dyDescent="0.25">
      <c r="A86" s="545" t="s">
        <v>158</v>
      </c>
      <c r="B86" s="546" t="s">
        <v>188</v>
      </c>
      <c r="C86" t="s">
        <v>204</v>
      </c>
      <c r="D86" t="s">
        <v>217</v>
      </c>
      <c r="E86" t="str">
        <f t="shared" si="6"/>
        <v>C3020 Floor Finishes_Wood Sports Floor</v>
      </c>
      <c r="F86" s="46">
        <v>8.9375</v>
      </c>
      <c r="G86" s="3"/>
      <c r="H86" s="46">
        <v>12.512499999999999</v>
      </c>
      <c r="I86" s="3"/>
      <c r="J86" s="46">
        <v>32.174999999999997</v>
      </c>
      <c r="K86" s="3"/>
      <c r="L86" s="46">
        <v>35.75</v>
      </c>
      <c r="M86" s="3" t="s">
        <v>52</v>
      </c>
      <c r="N86" s="46">
        <v>20</v>
      </c>
      <c r="O86" s="3" t="s">
        <v>52</v>
      </c>
      <c r="P86" s="52">
        <f>SUMIF('Physical Condition Assessment'!H86:N86,"X",'PCA Cost Tables - READ ONLY'!F86:L86)</f>
        <v>0</v>
      </c>
      <c r="Q86" s="4"/>
      <c r="S86" s="599"/>
      <c r="U86" s="599"/>
      <c r="W86" s="599"/>
      <c r="Y86" s="599"/>
    </row>
    <row r="87" spans="1:25" ht="16" thickBot="1" x14ac:dyDescent="0.25">
      <c r="A87" s="545" t="s">
        <v>158</v>
      </c>
      <c r="B87" s="546" t="s">
        <v>188</v>
      </c>
      <c r="C87" t="s">
        <v>219</v>
      </c>
      <c r="D87" t="s">
        <v>192</v>
      </c>
      <c r="E87" t="str">
        <f t="shared" si="6"/>
        <v>C3030 Ceiling Finishes_Wallboard</v>
      </c>
      <c r="F87" s="46">
        <v>4.1127720000000005</v>
      </c>
      <c r="G87" s="3"/>
      <c r="H87" s="46">
        <v>9.1685999999999996</v>
      </c>
      <c r="I87" s="3"/>
      <c r="J87" s="46">
        <v>11.7882</v>
      </c>
      <c r="K87" s="3"/>
      <c r="L87" s="46">
        <v>15.717599999999999</v>
      </c>
      <c r="M87" s="3" t="s">
        <v>52</v>
      </c>
      <c r="N87" s="46">
        <v>14</v>
      </c>
      <c r="O87" s="3" t="s">
        <v>52</v>
      </c>
      <c r="P87" s="52">
        <f>SUMIF('Physical Condition Assessment'!H87:N87,"X",'PCA Cost Tables - READ ONLY'!F87:L87)</f>
        <v>0</v>
      </c>
      <c r="Q87" s="4"/>
      <c r="S87" s="599"/>
      <c r="U87" s="599"/>
      <c r="W87" s="599"/>
      <c r="Y87" s="599"/>
    </row>
    <row r="88" spans="1:25" ht="16" thickBot="1" x14ac:dyDescent="0.25">
      <c r="A88" s="545" t="s">
        <v>158</v>
      </c>
      <c r="B88" s="546" t="s">
        <v>188</v>
      </c>
      <c r="C88" t="s">
        <v>219</v>
      </c>
      <c r="D88" t="s">
        <v>221</v>
      </c>
      <c r="E88" t="str">
        <f t="shared" si="6"/>
        <v>C3030 Ceiling Finishes_Lay-In Ceiling Tile</v>
      </c>
      <c r="F88" s="46">
        <v>1.3098000000000001</v>
      </c>
      <c r="G88" s="3"/>
      <c r="H88" s="46">
        <v>1.8206219999999997</v>
      </c>
      <c r="I88" s="3"/>
      <c r="J88" s="46">
        <v>5.2392000000000003</v>
      </c>
      <c r="K88" s="3"/>
      <c r="L88" s="46">
        <v>10.478400000000001</v>
      </c>
      <c r="M88" s="3" t="s">
        <v>52</v>
      </c>
      <c r="N88" s="46">
        <v>10</v>
      </c>
      <c r="O88" s="3" t="s">
        <v>52</v>
      </c>
      <c r="P88" s="52">
        <f>SUMIF('Physical Condition Assessment'!H88:N88,"X",'PCA Cost Tables - READ ONLY'!F88:L88)</f>
        <v>0</v>
      </c>
      <c r="Q88" s="4"/>
      <c r="S88" s="599"/>
      <c r="U88" s="599"/>
      <c r="W88" s="599"/>
      <c r="Y88" s="599"/>
    </row>
    <row r="89" spans="1:25" ht="16" thickBot="1" x14ac:dyDescent="0.25">
      <c r="A89" s="545" t="s">
        <v>158</v>
      </c>
      <c r="B89" s="546" t="s">
        <v>188</v>
      </c>
      <c r="C89" t="s">
        <v>219</v>
      </c>
      <c r="D89" t="s">
        <v>223</v>
      </c>
      <c r="E89" t="str">
        <f t="shared" si="6"/>
        <v>C3030 Ceiling Finishes_Glued-Up Ceiling Tile</v>
      </c>
      <c r="F89" s="46">
        <v>0.85137000000000007</v>
      </c>
      <c r="G89" s="3"/>
      <c r="H89" s="46">
        <v>1.3098000000000001</v>
      </c>
      <c r="I89" s="3"/>
      <c r="J89" s="46">
        <v>3.2745000000000002</v>
      </c>
      <c r="K89" s="3"/>
      <c r="L89" s="46">
        <v>6.2084520000000012</v>
      </c>
      <c r="M89" s="3" t="s">
        <v>52</v>
      </c>
      <c r="N89" s="46">
        <v>6.74</v>
      </c>
      <c r="O89" s="3" t="s">
        <v>52</v>
      </c>
      <c r="P89" s="52">
        <f>SUMIF('Physical Condition Assessment'!H89:N89,"X",'PCA Cost Tables - READ ONLY'!F89:L89)</f>
        <v>0</v>
      </c>
      <c r="Q89" s="4"/>
      <c r="S89" s="599"/>
      <c r="U89" s="599"/>
      <c r="W89" s="599"/>
      <c r="Y89" s="599"/>
    </row>
    <row r="90" spans="1:25" ht="16" thickBot="1" x14ac:dyDescent="0.25">
      <c r="A90" s="545" t="s">
        <v>158</v>
      </c>
      <c r="B90" s="546" t="s">
        <v>188</v>
      </c>
      <c r="C90" t="s">
        <v>219</v>
      </c>
      <c r="D90" t="s">
        <v>225</v>
      </c>
      <c r="E90" t="str">
        <f t="shared" si="6"/>
        <v>C3030 Ceiling Finishes_Tectum</v>
      </c>
      <c r="F90" s="46">
        <v>0.85137000000000007</v>
      </c>
      <c r="G90" s="3"/>
      <c r="H90" s="46">
        <v>1.3098000000000001</v>
      </c>
      <c r="I90" s="3"/>
      <c r="J90" s="46">
        <v>3.2745000000000002</v>
      </c>
      <c r="K90" s="3"/>
      <c r="L90" s="46">
        <v>6.2084520000000012</v>
      </c>
      <c r="M90" s="3" t="s">
        <v>52</v>
      </c>
      <c r="N90" s="46">
        <v>5</v>
      </c>
      <c r="O90" s="3" t="s">
        <v>52</v>
      </c>
      <c r="P90" s="52">
        <f>SUMIF('Physical Condition Assessment'!H90:N90,"X",'PCA Cost Tables - READ ONLY'!F90:L90)</f>
        <v>0</v>
      </c>
      <c r="Q90" s="4"/>
      <c r="S90" s="599"/>
      <c r="U90" s="599"/>
      <c r="W90" s="599"/>
      <c r="Y90" s="599"/>
    </row>
    <row r="91" spans="1:25" ht="16" thickBot="1" x14ac:dyDescent="0.25">
      <c r="A91" s="545" t="s">
        <v>158</v>
      </c>
      <c r="B91" s="546" t="s">
        <v>188</v>
      </c>
      <c r="C91" t="s">
        <v>219</v>
      </c>
      <c r="D91" t="s">
        <v>227</v>
      </c>
      <c r="E91" t="str">
        <f t="shared" si="6"/>
        <v>C3030 Ceiling Finishes_Painted Structure</v>
      </c>
      <c r="F91" s="46">
        <v>0.52392000000000005</v>
      </c>
      <c r="G91" s="3"/>
      <c r="H91" s="46">
        <v>0.98234999999999995</v>
      </c>
      <c r="I91" s="3"/>
      <c r="J91" s="46">
        <v>2.6196000000000002</v>
      </c>
      <c r="K91" s="3"/>
      <c r="L91" s="46">
        <v>4.2044579999999998</v>
      </c>
      <c r="M91" s="3" t="s">
        <v>52</v>
      </c>
      <c r="N91" s="46">
        <v>5.21</v>
      </c>
      <c r="O91" s="3" t="s">
        <v>52</v>
      </c>
      <c r="P91" s="52">
        <f>SUMIF('Physical Condition Assessment'!H91:N91,"X",'PCA Cost Tables - READ ONLY'!F91:L91)</f>
        <v>0</v>
      </c>
      <c r="Q91" s="4"/>
      <c r="S91" s="599"/>
      <c r="U91" s="599"/>
      <c r="W91" s="599"/>
      <c r="Y91" s="599"/>
    </row>
    <row r="92" spans="1:25" x14ac:dyDescent="0.2">
      <c r="A92" s="14" t="s">
        <v>229</v>
      </c>
      <c r="B92" s="18"/>
      <c r="C92" s="15"/>
      <c r="D92" s="15"/>
      <c r="E92" s="15"/>
      <c r="F92" s="45"/>
      <c r="G92" s="17"/>
      <c r="H92" s="45"/>
      <c r="I92" s="17"/>
      <c r="J92" s="45"/>
      <c r="K92" s="17"/>
      <c r="L92" s="45"/>
      <c r="M92" s="17"/>
      <c r="N92" s="45"/>
      <c r="O92" s="17"/>
      <c r="P92" s="51"/>
      <c r="Q92" s="17"/>
      <c r="S92" s="599"/>
      <c r="U92" s="599"/>
      <c r="W92" s="599"/>
      <c r="Y92" s="599"/>
    </row>
    <row r="93" spans="1:25" ht="16" thickBot="1" x14ac:dyDescent="0.25">
      <c r="A93" s="6"/>
      <c r="B93" s="7"/>
      <c r="C93"/>
      <c r="D93"/>
      <c r="E93"/>
      <c r="F93" s="42"/>
      <c r="G93" s="3"/>
      <c r="H93" s="42"/>
      <c r="I93" s="3"/>
      <c r="J93" s="42"/>
      <c r="K93" s="3"/>
      <c r="L93" s="42"/>
      <c r="M93" s="3"/>
      <c r="N93" s="42"/>
      <c r="O93" s="3"/>
      <c r="P93" s="29"/>
      <c r="Q93" s="3"/>
      <c r="S93" s="599"/>
      <c r="U93" s="599"/>
      <c r="W93" s="599"/>
      <c r="Y93" s="599"/>
    </row>
    <row r="94" spans="1:25" ht="16" thickBot="1" x14ac:dyDescent="0.25">
      <c r="A94" s="545" t="s">
        <v>229</v>
      </c>
      <c r="B94" s="7" t="s">
        <v>230</v>
      </c>
      <c r="C94" t="s">
        <v>231</v>
      </c>
      <c r="D94" t="s">
        <v>893</v>
      </c>
      <c r="E94" t="str">
        <f t="shared" si="6"/>
        <v>D1010 Elevators &amp; Lifts_blank</v>
      </c>
      <c r="F94" s="38">
        <v>7789.2720000000008</v>
      </c>
      <c r="G94" s="3"/>
      <c r="H94" s="38">
        <v>12520.704000000002</v>
      </c>
      <c r="I94" s="3"/>
      <c r="J94" s="38">
        <v>23476.320000000003</v>
      </c>
      <c r="K94" s="3"/>
      <c r="L94" s="38">
        <v>84514.752000000008</v>
      </c>
      <c r="M94" s="3" t="s">
        <v>52</v>
      </c>
      <c r="N94" s="38">
        <v>60000</v>
      </c>
      <c r="O94" s="3" t="s">
        <v>52</v>
      </c>
      <c r="P94" s="52">
        <f>SUMIF('Physical Condition Assessment'!H94:N94,"X",'PCA Cost Tables - READ ONLY'!F94:L94)</f>
        <v>0</v>
      </c>
      <c r="Q94" s="4"/>
      <c r="S94" s="599"/>
      <c r="U94" s="599"/>
      <c r="W94" s="599"/>
      <c r="Y94" s="599"/>
    </row>
    <row r="95" spans="1:25" ht="16" thickBot="1" x14ac:dyDescent="0.25">
      <c r="A95" s="545" t="s">
        <v>229</v>
      </c>
      <c r="B95" s="546" t="s">
        <v>230</v>
      </c>
      <c r="C95" t="s">
        <v>233</v>
      </c>
      <c r="D95" t="s">
        <v>893</v>
      </c>
      <c r="E95" t="str">
        <f t="shared" si="6"/>
        <v>D1020 Escalators &amp; Moving Walks_blank</v>
      </c>
      <c r="F95" s="46">
        <v>5322.4500000000007</v>
      </c>
      <c r="G95" s="3"/>
      <c r="H95" s="38">
        <v>15835.008000000002</v>
      </c>
      <c r="I95" s="3"/>
      <c r="J95" s="46">
        <v>156692.92800000001</v>
      </c>
      <c r="K95" s="3"/>
      <c r="L95" s="38">
        <v>172137.76</v>
      </c>
      <c r="M95" s="3" t="s">
        <v>52</v>
      </c>
      <c r="N95" s="38">
        <v>120000</v>
      </c>
      <c r="O95" s="3" t="s">
        <v>52</v>
      </c>
      <c r="P95" s="52">
        <f>SUMIF('Physical Condition Assessment'!H95:N95,"X",'PCA Cost Tables - READ ONLY'!F95:L95)</f>
        <v>0</v>
      </c>
      <c r="Q95" s="4"/>
      <c r="S95" s="599"/>
      <c r="U95" s="599"/>
      <c r="W95" s="599"/>
      <c r="Y95" s="599"/>
    </row>
    <row r="96" spans="1:25" ht="16" thickBot="1" x14ac:dyDescent="0.25">
      <c r="A96" s="545" t="s">
        <v>229</v>
      </c>
      <c r="B96" s="546" t="s">
        <v>230</v>
      </c>
      <c r="C96" t="s">
        <v>235</v>
      </c>
      <c r="D96" t="s">
        <v>893</v>
      </c>
      <c r="E96" t="str">
        <f t="shared" si="6"/>
        <v>D1090 Other Conveying Systems_blank</v>
      </c>
      <c r="F96" s="46">
        <v>1520.7</v>
      </c>
      <c r="G96" s="3"/>
      <c r="H96" s="38">
        <v>6260.3520000000008</v>
      </c>
      <c r="I96" s="3"/>
      <c r="J96" s="46">
        <v>38017.500000000007</v>
      </c>
      <c r="K96" s="3"/>
      <c r="L96" s="38">
        <v>41100</v>
      </c>
      <c r="M96" s="3" t="s">
        <v>52</v>
      </c>
      <c r="N96" s="38">
        <v>30000</v>
      </c>
      <c r="O96" s="3" t="s">
        <v>52</v>
      </c>
      <c r="P96" s="52">
        <f>SUMIF('Physical Condition Assessment'!H96:N96,"X",'PCA Cost Tables - READ ONLY'!F96:L96)</f>
        <v>0</v>
      </c>
      <c r="Q96" s="4"/>
      <c r="S96" s="599"/>
      <c r="U96" s="599"/>
      <c r="W96" s="599"/>
      <c r="Y96" s="599"/>
    </row>
    <row r="97" spans="1:25" ht="16" thickBot="1" x14ac:dyDescent="0.25">
      <c r="A97" s="545"/>
      <c r="B97" s="7"/>
      <c r="C97"/>
      <c r="D97"/>
      <c r="E97"/>
      <c r="F97" s="42"/>
      <c r="G97" s="3"/>
      <c r="H97" s="42"/>
      <c r="I97" s="3"/>
      <c r="J97" s="42"/>
      <c r="K97" s="3"/>
      <c r="L97" s="42"/>
      <c r="M97" s="3"/>
      <c r="N97" s="42"/>
      <c r="O97" s="3"/>
      <c r="P97" s="29"/>
      <c r="Q97" s="3"/>
      <c r="S97" s="599"/>
      <c r="U97" s="599"/>
      <c r="W97" s="599"/>
      <c r="Y97" s="599"/>
    </row>
    <row r="98" spans="1:25" ht="16" thickBot="1" x14ac:dyDescent="0.25">
      <c r="A98" s="545" t="s">
        <v>229</v>
      </c>
      <c r="B98" s="7" t="s">
        <v>237</v>
      </c>
      <c r="C98" t="s">
        <v>238</v>
      </c>
      <c r="D98" t="s">
        <v>893</v>
      </c>
      <c r="E98" t="str">
        <f t="shared" si="6"/>
        <v>D2010 Plumbing Fixtures_blank</v>
      </c>
      <c r="F98" s="46">
        <v>130.98000000000002</v>
      </c>
      <c r="G98" s="3"/>
      <c r="H98" s="46">
        <v>654.9</v>
      </c>
      <c r="I98" s="3"/>
      <c r="J98" s="46">
        <v>1964.7000000000003</v>
      </c>
      <c r="K98" s="3"/>
      <c r="L98" s="46">
        <v>3929.4000000000005</v>
      </c>
      <c r="M98" s="3" t="s">
        <v>52</v>
      </c>
      <c r="N98" s="46">
        <v>3000</v>
      </c>
      <c r="O98" s="3" t="s">
        <v>52</v>
      </c>
      <c r="P98" s="52">
        <f>SUMIF('Physical Condition Assessment'!H98:N98,"X",'PCA Cost Tables - READ ONLY'!F98:L98)</f>
        <v>0</v>
      </c>
      <c r="Q98" s="4" t="s">
        <v>903</v>
      </c>
      <c r="S98" s="599"/>
      <c r="U98" s="599"/>
      <c r="W98" s="599"/>
      <c r="Y98" s="599"/>
    </row>
    <row r="99" spans="1:25" ht="16" thickBot="1" x14ac:dyDescent="0.25">
      <c r="A99" s="545" t="s">
        <v>229</v>
      </c>
      <c r="B99" s="546" t="s">
        <v>237</v>
      </c>
      <c r="C99" t="s">
        <v>241</v>
      </c>
      <c r="D99" t="s">
        <v>893</v>
      </c>
      <c r="E99" t="str">
        <f t="shared" si="6"/>
        <v>D2020 Domestic Water Distribution_blank</v>
      </c>
      <c r="F99" s="46">
        <v>1.6110540000000002</v>
      </c>
      <c r="G99" s="3"/>
      <c r="H99" s="46">
        <v>2.2004639999999998</v>
      </c>
      <c r="I99" s="3"/>
      <c r="J99" s="46">
        <v>9.535344000000002</v>
      </c>
      <c r="K99" s="3"/>
      <c r="L99" s="46">
        <v>15.717599999999999</v>
      </c>
      <c r="M99" s="3" t="s">
        <v>52</v>
      </c>
      <c r="N99" s="46">
        <v>77.38</v>
      </c>
      <c r="O99" s="3" t="s">
        <v>52</v>
      </c>
      <c r="P99" s="52">
        <f>SUMIF('Physical Condition Assessment'!H99:N99,"X",'PCA Cost Tables - READ ONLY'!F99:L99)</f>
        <v>0</v>
      </c>
      <c r="Q99" s="4"/>
      <c r="S99" s="599"/>
      <c r="U99" s="599"/>
      <c r="W99" s="599"/>
      <c r="Y99" s="599"/>
    </row>
    <row r="100" spans="1:25" ht="16" thickBot="1" x14ac:dyDescent="0.25">
      <c r="A100" s="545" t="s">
        <v>229</v>
      </c>
      <c r="B100" s="546" t="s">
        <v>237</v>
      </c>
      <c r="C100" t="s">
        <v>243</v>
      </c>
      <c r="D100" t="s">
        <v>893</v>
      </c>
      <c r="E100" t="str">
        <f t="shared" si="6"/>
        <v>D2030 Sanitary Waste_blank</v>
      </c>
      <c r="F100" s="46">
        <v>0.65490000000000004</v>
      </c>
      <c r="G100" s="3"/>
      <c r="H100" s="46">
        <v>2.0563860000000003</v>
      </c>
      <c r="I100" s="3"/>
      <c r="J100" s="97">
        <v>2.42313</v>
      </c>
      <c r="K100" s="3"/>
      <c r="L100" s="46">
        <v>2.7112859999999999</v>
      </c>
      <c r="M100" s="3" t="s">
        <v>52</v>
      </c>
      <c r="N100" s="46">
        <v>72.069999999999993</v>
      </c>
      <c r="O100" s="3" t="s">
        <v>52</v>
      </c>
      <c r="P100" s="52">
        <f>SUMIF('Physical Condition Assessment'!H100:N100,"X",'PCA Cost Tables - READ ONLY'!F100:L100)</f>
        <v>0</v>
      </c>
      <c r="Q100" s="4"/>
      <c r="S100" s="599"/>
      <c r="U100" s="599"/>
      <c r="W100" s="599"/>
      <c r="Y100" s="599"/>
    </row>
    <row r="101" spans="1:25" ht="16" thickBot="1" x14ac:dyDescent="0.25">
      <c r="A101" s="545" t="s">
        <v>229</v>
      </c>
      <c r="B101" s="546" t="s">
        <v>237</v>
      </c>
      <c r="C101" t="s">
        <v>245</v>
      </c>
      <c r="D101" t="s">
        <v>893</v>
      </c>
      <c r="E101" t="str">
        <f t="shared" si="6"/>
        <v>D2040 Rain Water Drainage_blank</v>
      </c>
      <c r="F101" s="46">
        <v>0.39294000000000001</v>
      </c>
      <c r="G101" s="3"/>
      <c r="H101" s="46">
        <v>1.3228980000000001</v>
      </c>
      <c r="I101" s="3"/>
      <c r="J101" s="46">
        <v>2.42313</v>
      </c>
      <c r="K101" s="3"/>
      <c r="L101" s="46">
        <v>3.07803</v>
      </c>
      <c r="M101" s="3" t="s">
        <v>52</v>
      </c>
      <c r="N101" s="46">
        <v>72.349999999999994</v>
      </c>
      <c r="O101" s="3" t="s">
        <v>52</v>
      </c>
      <c r="P101" s="52">
        <f>SUMIF('Physical Condition Assessment'!H101:N101,"X",'PCA Cost Tables - READ ONLY'!F101:L101)</f>
        <v>0</v>
      </c>
      <c r="Q101" s="4"/>
      <c r="S101" s="599"/>
      <c r="U101" s="599"/>
      <c r="W101" s="599"/>
      <c r="Y101" s="599"/>
    </row>
    <row r="102" spans="1:25" ht="16" hidden="1" thickBot="1" x14ac:dyDescent="0.25">
      <c r="A102" s="545" t="s">
        <v>229</v>
      </c>
      <c r="B102" s="7" t="s">
        <v>237</v>
      </c>
      <c r="C102" t="s">
        <v>904</v>
      </c>
      <c r="D102" t="s">
        <v>893</v>
      </c>
      <c r="E102" t="str">
        <f t="shared" si="6"/>
        <v>D2090 Other Plumbing Systems_blank</v>
      </c>
      <c r="F102" s="47"/>
      <c r="G102" s="3"/>
      <c r="H102" s="47"/>
      <c r="I102" s="3"/>
      <c r="J102" s="47"/>
      <c r="K102" s="3"/>
      <c r="L102" s="47"/>
      <c r="M102" s="3" t="s">
        <v>52</v>
      </c>
      <c r="N102" s="47"/>
      <c r="O102" s="3" t="s">
        <v>52</v>
      </c>
      <c r="P102" s="52">
        <f>SUMIF('Physical Condition Assessment'!H102:N102,"X",'PCA Cost Tables - READ ONLY'!F102:L102)</f>
        <v>0</v>
      </c>
      <c r="Q102" s="33"/>
      <c r="S102" s="599"/>
      <c r="U102" s="599"/>
      <c r="W102" s="599"/>
      <c r="Y102" s="599"/>
    </row>
    <row r="103" spans="1:25" ht="16" thickBot="1" x14ac:dyDescent="0.25">
      <c r="A103" s="545" t="s">
        <v>229</v>
      </c>
      <c r="B103" s="7" t="s">
        <v>247</v>
      </c>
      <c r="C103" t="s">
        <v>904</v>
      </c>
      <c r="D103" t="s">
        <v>893</v>
      </c>
      <c r="E103" t="str">
        <f t="shared" si="6"/>
        <v>D2090 Other Plumbing Systems_blank</v>
      </c>
      <c r="F103" s="42"/>
      <c r="G103" s="3"/>
      <c r="H103" s="42"/>
      <c r="I103" s="3"/>
      <c r="J103" s="68"/>
      <c r="K103" s="3"/>
      <c r="L103" s="42"/>
      <c r="M103" s="3"/>
      <c r="N103" s="42"/>
      <c r="O103" s="3"/>
      <c r="P103" s="29"/>
      <c r="Q103" s="3"/>
      <c r="S103" s="599"/>
      <c r="U103" s="599"/>
      <c r="W103" s="599"/>
      <c r="Y103" s="599"/>
    </row>
    <row r="104" spans="1:25" ht="16" thickBot="1" x14ac:dyDescent="0.25">
      <c r="A104" s="545" t="s">
        <v>229</v>
      </c>
      <c r="B104" s="546" t="s">
        <v>247</v>
      </c>
      <c r="C104" t="s">
        <v>249</v>
      </c>
      <c r="D104" t="s">
        <v>893</v>
      </c>
      <c r="E104" t="str">
        <f t="shared" si="6"/>
        <v>D3010 Energy Supply_blank</v>
      </c>
      <c r="F104" s="46">
        <v>1.8977670000000002</v>
      </c>
      <c r="G104" s="3"/>
      <c r="H104" s="46">
        <v>4.2275460000000002</v>
      </c>
      <c r="I104" s="3"/>
      <c r="J104" s="46">
        <v>11.186025000000001</v>
      </c>
      <c r="K104" s="3"/>
      <c r="L104" s="46">
        <v>19.656545999999999</v>
      </c>
      <c r="M104" s="3" t="s">
        <v>52</v>
      </c>
      <c r="N104" s="46">
        <v>12.74</v>
      </c>
      <c r="O104" s="3" t="s">
        <v>52</v>
      </c>
      <c r="P104" s="52">
        <f>SUMIF('Physical Condition Assessment'!H104:N104,"X",'PCA Cost Tables - READ ONLY'!F104:L104)</f>
        <v>0</v>
      </c>
      <c r="Q104" s="4" t="s">
        <v>905</v>
      </c>
      <c r="S104" s="599"/>
      <c r="U104" s="599"/>
      <c r="W104" s="599"/>
      <c r="Y104" s="599"/>
    </row>
    <row r="105" spans="1:25" ht="16" thickBot="1" x14ac:dyDescent="0.25">
      <c r="A105" s="545" t="s">
        <v>229</v>
      </c>
      <c r="B105" s="546" t="s">
        <v>247</v>
      </c>
      <c r="C105" t="s">
        <v>256</v>
      </c>
      <c r="D105" t="s">
        <v>257</v>
      </c>
      <c r="E105" t="str">
        <f t="shared" si="6"/>
        <v>D3020 Heat Generating Systems_Boiler</v>
      </c>
      <c r="F105" s="46">
        <v>3.3974379999999997</v>
      </c>
      <c r="G105" s="3"/>
      <c r="H105" s="46">
        <v>4.339302</v>
      </c>
      <c r="I105" s="3"/>
      <c r="J105" s="46">
        <v>8.6617850000000001</v>
      </c>
      <c r="K105" s="3"/>
      <c r="L105" s="46">
        <v>16.011687999999999</v>
      </c>
      <c r="M105" s="3" t="s">
        <v>52</v>
      </c>
      <c r="N105" s="46">
        <v>9.52</v>
      </c>
      <c r="O105" s="3" t="s">
        <v>52</v>
      </c>
      <c r="P105" s="52">
        <f>SUMIF('Physical Condition Assessment'!H105:N105,"X",'PCA Cost Tables - READ ONLY'!F105:L105)</f>
        <v>0</v>
      </c>
      <c r="Q105" s="4" t="s">
        <v>905</v>
      </c>
      <c r="S105" s="599"/>
      <c r="U105" s="599"/>
      <c r="W105" s="599"/>
      <c r="Y105" s="599"/>
    </row>
    <row r="106" spans="1:25" ht="16" thickBot="1" x14ac:dyDescent="0.25">
      <c r="A106" s="545" t="s">
        <v>229</v>
      </c>
      <c r="B106" s="546" t="s">
        <v>247</v>
      </c>
      <c r="C106" t="s">
        <v>256</v>
      </c>
      <c r="D106" t="s">
        <v>260</v>
      </c>
      <c r="E106" t="str">
        <f t="shared" si="6"/>
        <v>D3020 Heat Generating Systems_Air Handler</v>
      </c>
      <c r="F106" s="46">
        <v>1.2614249999999998</v>
      </c>
      <c r="G106" s="3"/>
      <c r="H106" s="46">
        <v>3.1956099999999998</v>
      </c>
      <c r="I106" s="3"/>
      <c r="J106" s="46">
        <v>4.0533789999999996</v>
      </c>
      <c r="K106" s="3"/>
      <c r="L106" s="46">
        <v>9.7886579999999999</v>
      </c>
      <c r="M106" s="3" t="s">
        <v>52</v>
      </c>
      <c r="N106" s="46">
        <v>5.82</v>
      </c>
      <c r="O106" s="3" t="s">
        <v>52</v>
      </c>
      <c r="P106" s="52">
        <f>SUMIF('Physical Condition Assessment'!H106:N106,"X",'PCA Cost Tables - READ ONLY'!F106:L106)</f>
        <v>0</v>
      </c>
      <c r="Q106" s="4" t="s">
        <v>905</v>
      </c>
      <c r="S106" s="599"/>
      <c r="U106" s="599"/>
      <c r="W106" s="599"/>
      <c r="Y106" s="599"/>
    </row>
    <row r="107" spans="1:25" ht="16" thickBot="1" x14ac:dyDescent="0.25">
      <c r="A107" s="545" t="s">
        <v>229</v>
      </c>
      <c r="B107" s="546" t="s">
        <v>247</v>
      </c>
      <c r="C107" t="s">
        <v>256</v>
      </c>
      <c r="D107" t="s">
        <v>263</v>
      </c>
      <c r="E107" t="str">
        <f t="shared" si="6"/>
        <v>D3020 Heat Generating Systems_Furnace</v>
      </c>
      <c r="F107" s="46">
        <v>1.2446059999999999</v>
      </c>
      <c r="G107" s="3"/>
      <c r="H107" s="46">
        <v>2.2537459999999996</v>
      </c>
      <c r="I107" s="3"/>
      <c r="J107" s="46">
        <v>4.1374739999999992</v>
      </c>
      <c r="K107" s="3"/>
      <c r="L107" s="46">
        <v>7.1648939999999985</v>
      </c>
      <c r="M107" s="3" t="s">
        <v>52</v>
      </c>
      <c r="N107" s="46">
        <v>4.26</v>
      </c>
      <c r="O107" s="3" t="s">
        <v>52</v>
      </c>
      <c r="P107" s="52">
        <f>SUMIF('Physical Condition Assessment'!H107:N107,"X",'PCA Cost Tables - READ ONLY'!F107:L107)</f>
        <v>0</v>
      </c>
      <c r="Q107" s="4" t="s">
        <v>905</v>
      </c>
      <c r="S107" s="599"/>
      <c r="U107" s="599"/>
      <c r="W107" s="599"/>
      <c r="Y107" s="599"/>
    </row>
    <row r="108" spans="1:25" ht="16" thickBot="1" x14ac:dyDescent="0.25">
      <c r="A108" s="545" t="s">
        <v>229</v>
      </c>
      <c r="B108" s="546" t="s">
        <v>247</v>
      </c>
      <c r="C108" t="s">
        <v>256</v>
      </c>
      <c r="D108" t="s">
        <v>266</v>
      </c>
      <c r="E108" t="str">
        <f t="shared" si="6"/>
        <v>D3020 Heat Generating Systems_Heat Exchanger</v>
      </c>
      <c r="F108" s="46">
        <v>0.33637999999999996</v>
      </c>
      <c r="G108" s="3"/>
      <c r="H108" s="46">
        <v>0.94186400000000003</v>
      </c>
      <c r="I108" s="3"/>
      <c r="J108" s="46">
        <v>1.6987189999999999</v>
      </c>
      <c r="K108" s="3"/>
      <c r="L108" s="46">
        <v>3.3974379999999997</v>
      </c>
      <c r="M108" s="3" t="s">
        <v>52</v>
      </c>
      <c r="N108" s="46">
        <v>2.02</v>
      </c>
      <c r="O108" s="3" t="s">
        <v>52</v>
      </c>
      <c r="P108" s="52">
        <f>SUMIF('Physical Condition Assessment'!H108:N108,"X",'PCA Cost Tables - READ ONLY'!F108:L108)</f>
        <v>0</v>
      </c>
      <c r="Q108" s="4" t="s">
        <v>905</v>
      </c>
      <c r="S108" s="599"/>
      <c r="U108" s="599"/>
      <c r="W108" s="599"/>
      <c r="Y108" s="599"/>
    </row>
    <row r="109" spans="1:25" ht="16" thickBot="1" x14ac:dyDescent="0.25">
      <c r="A109" s="545" t="s">
        <v>229</v>
      </c>
      <c r="B109" s="546" t="s">
        <v>247</v>
      </c>
      <c r="C109" t="s">
        <v>268</v>
      </c>
      <c r="D109" t="s">
        <v>269</v>
      </c>
      <c r="E109" t="str">
        <f t="shared" si="6"/>
        <v>D3030 Cooling Generating Systems_Component of air handler</v>
      </c>
      <c r="F109" s="46">
        <v>0.84094999999999986</v>
      </c>
      <c r="G109" s="3"/>
      <c r="H109" s="46">
        <v>2.0687369999999996</v>
      </c>
      <c r="I109" s="3"/>
      <c r="J109" s="46">
        <v>4.0533789999999996</v>
      </c>
      <c r="K109" s="3"/>
      <c r="L109" s="46">
        <v>6.4921339999999983</v>
      </c>
      <c r="M109" s="3" t="s">
        <v>52</v>
      </c>
      <c r="N109" s="46">
        <v>3.86</v>
      </c>
      <c r="O109" s="3" t="s">
        <v>52</v>
      </c>
      <c r="P109" s="52">
        <f>SUMIF('Physical Condition Assessment'!H109:N109,"X",'PCA Cost Tables - READ ONLY'!F109:L109)</f>
        <v>0</v>
      </c>
      <c r="Q109" s="4" t="s">
        <v>905</v>
      </c>
      <c r="S109" s="599"/>
      <c r="U109" s="599"/>
      <c r="W109" s="599"/>
      <c r="Y109" s="599"/>
    </row>
    <row r="110" spans="1:25" ht="16" thickBot="1" x14ac:dyDescent="0.25">
      <c r="A110" s="545" t="s">
        <v>229</v>
      </c>
      <c r="B110" s="546" t="s">
        <v>247</v>
      </c>
      <c r="C110" t="s">
        <v>268</v>
      </c>
      <c r="D110" t="s">
        <v>271</v>
      </c>
      <c r="E110" t="str">
        <f t="shared" si="6"/>
        <v>D3030 Cooling Generating Systems_Stand alone chiller</v>
      </c>
      <c r="F110" s="46">
        <v>1.2614249999999998</v>
      </c>
      <c r="G110" s="3"/>
      <c r="H110" s="46">
        <v>3.1956099999999998</v>
      </c>
      <c r="I110" s="3"/>
      <c r="J110" s="46">
        <v>4.0533789999999996</v>
      </c>
      <c r="K110" s="3"/>
      <c r="L110" s="46">
        <v>9.3177260000000004</v>
      </c>
      <c r="M110" s="3" t="s">
        <v>52</v>
      </c>
      <c r="N110" s="46">
        <v>5.54</v>
      </c>
      <c r="O110" s="3" t="s">
        <v>52</v>
      </c>
      <c r="P110" s="52">
        <f>SUMIF('Physical Condition Assessment'!H110:N110,"X",'PCA Cost Tables - READ ONLY'!F110:L110)</f>
        <v>0</v>
      </c>
      <c r="Q110" s="4" t="s">
        <v>905</v>
      </c>
      <c r="S110" s="599"/>
      <c r="U110" s="599"/>
      <c r="W110" s="599"/>
      <c r="Y110" s="599"/>
    </row>
    <row r="111" spans="1:25" ht="16" thickBot="1" x14ac:dyDescent="0.25">
      <c r="A111" s="545" t="s">
        <v>229</v>
      </c>
      <c r="B111" s="546" t="s">
        <v>247</v>
      </c>
      <c r="C111" t="s">
        <v>273</v>
      </c>
      <c r="D111" t="s">
        <v>274</v>
      </c>
      <c r="E111" t="str">
        <f t="shared" si="6"/>
        <v>D3040 Distribution Systems_Ductwork</v>
      </c>
      <c r="F111" s="46">
        <v>0.84094999999999986</v>
      </c>
      <c r="G111" s="3"/>
      <c r="H111" s="46">
        <v>3.0106009999999999</v>
      </c>
      <c r="I111" s="3"/>
      <c r="J111" s="46">
        <v>3.5824469999999993</v>
      </c>
      <c r="K111" s="3"/>
      <c r="L111" s="46">
        <v>8.6617850000000001</v>
      </c>
      <c r="M111" s="3" t="s">
        <v>52</v>
      </c>
      <c r="N111" s="46">
        <v>35.15</v>
      </c>
      <c r="O111" s="3" t="s">
        <v>52</v>
      </c>
      <c r="P111" s="52">
        <f>SUMIF('Physical Condition Assessment'!H111:N111,"X",'PCA Cost Tables - READ ONLY'!F111:L111)</f>
        <v>0</v>
      </c>
      <c r="Q111" s="4" t="s">
        <v>905</v>
      </c>
      <c r="S111" s="599"/>
      <c r="U111" s="599"/>
      <c r="W111" s="599"/>
      <c r="Y111" s="599"/>
    </row>
    <row r="112" spans="1:25" ht="16" thickBot="1" x14ac:dyDescent="0.25">
      <c r="A112" s="545" t="s">
        <v>229</v>
      </c>
      <c r="B112" s="546" t="s">
        <v>247</v>
      </c>
      <c r="C112" t="s">
        <v>273</v>
      </c>
      <c r="D112" t="s">
        <v>276</v>
      </c>
      <c r="E112" t="str">
        <f t="shared" si="6"/>
        <v>D3040 Distribution Systems_Hot water return &amp; supply</v>
      </c>
      <c r="F112" s="46">
        <v>2.0687369999999996</v>
      </c>
      <c r="G112" s="3"/>
      <c r="H112" s="46">
        <v>2.8255919999999999</v>
      </c>
      <c r="I112" s="3"/>
      <c r="J112" s="46">
        <v>7.5685500000000001</v>
      </c>
      <c r="K112" s="3"/>
      <c r="L112" s="46">
        <v>14.413882999999998</v>
      </c>
      <c r="M112" s="3" t="s">
        <v>52</v>
      </c>
      <c r="N112" s="46">
        <v>35.15</v>
      </c>
      <c r="O112" s="3" t="s">
        <v>52</v>
      </c>
      <c r="P112" s="52">
        <f>SUMIF('Physical Condition Assessment'!H112:N112,"X",'PCA Cost Tables - READ ONLY'!F112:L112)</f>
        <v>0</v>
      </c>
      <c r="Q112" s="4" t="s">
        <v>905</v>
      </c>
      <c r="S112" s="599"/>
      <c r="U112" s="599"/>
      <c r="W112" s="599"/>
      <c r="Y112" s="599"/>
    </row>
    <row r="113" spans="1:25" ht="16" thickBot="1" x14ac:dyDescent="0.25">
      <c r="A113" s="545" t="s">
        <v>229</v>
      </c>
      <c r="B113" s="546" t="s">
        <v>247</v>
      </c>
      <c r="C113" t="s">
        <v>278</v>
      </c>
      <c r="D113" t="s">
        <v>279</v>
      </c>
      <c r="E113" t="str">
        <f t="shared" si="6"/>
        <v>D3050 Terminal &amp; Package Units_Above ceiling VAV unit</v>
      </c>
      <c r="F113" s="46">
        <v>2.0687369999999996</v>
      </c>
      <c r="G113" s="3"/>
      <c r="H113" s="46">
        <v>4.0533789999999996</v>
      </c>
      <c r="I113" s="3"/>
      <c r="J113" s="46">
        <v>6.7780570000000004</v>
      </c>
      <c r="K113" s="3"/>
      <c r="L113" s="46">
        <v>13.034724999999998</v>
      </c>
      <c r="M113" s="3" t="s">
        <v>52</v>
      </c>
      <c r="N113" s="46">
        <v>16.03</v>
      </c>
      <c r="O113" s="3" t="s">
        <v>52</v>
      </c>
      <c r="P113" s="52">
        <f>SUMIF('Physical Condition Assessment'!H113:N113,"X",'PCA Cost Tables - READ ONLY'!F113:L113)</f>
        <v>0</v>
      </c>
      <c r="Q113" s="4" t="s">
        <v>905</v>
      </c>
      <c r="S113" s="599"/>
      <c r="U113" s="599"/>
      <c r="W113" s="599"/>
      <c r="Y113" s="599"/>
    </row>
    <row r="114" spans="1:25" ht="16" thickBot="1" x14ac:dyDescent="0.25">
      <c r="A114" s="545" t="s">
        <v>229</v>
      </c>
      <c r="B114" s="546" t="s">
        <v>247</v>
      </c>
      <c r="C114" t="s">
        <v>278</v>
      </c>
      <c r="D114" t="s">
        <v>281</v>
      </c>
      <c r="E114" t="str">
        <f t="shared" si="6"/>
        <v>D3050 Terminal &amp; Package Units_In-room ventilator unit</v>
      </c>
      <c r="F114" s="46">
        <v>3.3637999999999995</v>
      </c>
      <c r="G114" s="3"/>
      <c r="H114" s="46">
        <v>9.0486219999999982</v>
      </c>
      <c r="I114" s="3"/>
      <c r="J114" s="46">
        <v>20.182799999999997</v>
      </c>
      <c r="K114" s="3"/>
      <c r="L114" s="46">
        <v>26.843124</v>
      </c>
      <c r="M114" s="3" t="s">
        <v>52</v>
      </c>
      <c r="N114" s="46">
        <v>27.96</v>
      </c>
      <c r="O114" s="3" t="s">
        <v>52</v>
      </c>
      <c r="P114" s="52">
        <f>SUMIF('Physical Condition Assessment'!H114:N114,"X",'PCA Cost Tables - READ ONLY'!F114:L114)</f>
        <v>0</v>
      </c>
      <c r="Q114" s="4" t="s">
        <v>905</v>
      </c>
      <c r="S114" s="599"/>
      <c r="U114" s="599"/>
      <c r="W114" s="599"/>
      <c r="Y114" s="599"/>
    </row>
    <row r="115" spans="1:25" ht="16" thickBot="1" x14ac:dyDescent="0.25">
      <c r="A115" s="545" t="s">
        <v>229</v>
      </c>
      <c r="B115" s="546" t="s">
        <v>247</v>
      </c>
      <c r="C115" t="s">
        <v>278</v>
      </c>
      <c r="D115" t="s">
        <v>283</v>
      </c>
      <c r="E115" t="str">
        <f t="shared" si="6"/>
        <v>D3050 Terminal &amp; Package Units_In-room radiant unit</v>
      </c>
      <c r="F115" s="46">
        <v>0.84094999999999986</v>
      </c>
      <c r="G115" s="3"/>
      <c r="H115" s="46">
        <v>1.8837280000000001</v>
      </c>
      <c r="I115" s="3"/>
      <c r="J115" s="46">
        <v>4.0533789999999996</v>
      </c>
      <c r="K115" s="3"/>
      <c r="L115" s="46">
        <v>5.2811659999999998</v>
      </c>
      <c r="M115" s="3" t="s">
        <v>52</v>
      </c>
      <c r="N115" s="46">
        <v>15.14</v>
      </c>
      <c r="O115" s="3" t="s">
        <v>52</v>
      </c>
      <c r="P115" s="52">
        <f>SUMIF('Physical Condition Assessment'!H115:N115,"X",'PCA Cost Tables - READ ONLY'!F115:L115)</f>
        <v>0</v>
      </c>
      <c r="Q115" s="4" t="s">
        <v>905</v>
      </c>
      <c r="S115" s="599"/>
      <c r="U115" s="599"/>
      <c r="W115" s="599"/>
      <c r="Y115" s="599"/>
    </row>
    <row r="116" spans="1:25" ht="16" thickBot="1" x14ac:dyDescent="0.25">
      <c r="A116" s="545" t="s">
        <v>229</v>
      </c>
      <c r="B116" s="546" t="s">
        <v>247</v>
      </c>
      <c r="C116" t="s">
        <v>285</v>
      </c>
      <c r="D116" t="s">
        <v>893</v>
      </c>
      <c r="E116" t="str">
        <f t="shared" si="6"/>
        <v>D3060 Controls &amp; Instrumentation_blank</v>
      </c>
      <c r="F116" s="46">
        <v>0.94186400000000003</v>
      </c>
      <c r="G116" s="3"/>
      <c r="H116" s="46">
        <v>1.5137099999999999</v>
      </c>
      <c r="I116" s="3"/>
      <c r="J116" s="46">
        <v>4.5243109999999991</v>
      </c>
      <c r="K116" s="3"/>
      <c r="L116" s="46">
        <v>8.6113279999999985</v>
      </c>
      <c r="M116" s="3" t="s">
        <v>52</v>
      </c>
      <c r="N116" s="46">
        <v>14.69</v>
      </c>
      <c r="O116" s="3" t="s">
        <v>52</v>
      </c>
      <c r="P116" s="52">
        <f>SUMIF('Physical Condition Assessment'!H116:N116,"X",'PCA Cost Tables - READ ONLY'!F116:L116)</f>
        <v>0</v>
      </c>
      <c r="Q116" s="4" t="s">
        <v>905</v>
      </c>
      <c r="S116" s="599"/>
      <c r="U116" s="599"/>
      <c r="W116" s="599"/>
      <c r="Y116" s="599"/>
    </row>
    <row r="117" spans="1:25" ht="16" thickBot="1" x14ac:dyDescent="0.25">
      <c r="A117" s="545" t="s">
        <v>229</v>
      </c>
      <c r="B117" s="546" t="s">
        <v>247</v>
      </c>
      <c r="C117" t="s">
        <v>287</v>
      </c>
      <c r="D117" t="s">
        <v>893</v>
      </c>
      <c r="E117" t="str">
        <f t="shared" si="6"/>
        <v>D3070 Systems Testing &amp; Balancing_blank</v>
      </c>
      <c r="F117" s="98">
        <v>0</v>
      </c>
      <c r="G117" s="3"/>
      <c r="H117" s="98">
        <v>0</v>
      </c>
      <c r="I117" s="3"/>
      <c r="J117" s="98">
        <v>0</v>
      </c>
      <c r="K117" s="3"/>
      <c r="L117" s="46">
        <v>2.0845879999999997</v>
      </c>
      <c r="M117" s="3" t="s">
        <v>52</v>
      </c>
      <c r="N117" s="46">
        <v>1.46</v>
      </c>
      <c r="O117" s="3" t="s">
        <v>52</v>
      </c>
      <c r="P117" s="52">
        <f>SUMIF('Physical Condition Assessment'!H117:N117,"X",'PCA Cost Tables - READ ONLY'!F117:L117)</f>
        <v>0</v>
      </c>
      <c r="Q117" s="4" t="s">
        <v>905</v>
      </c>
      <c r="S117" s="599"/>
      <c r="U117" s="599"/>
      <c r="W117" s="599"/>
      <c r="Y117" s="599"/>
    </row>
    <row r="118" spans="1:25" ht="16" hidden="1" thickBot="1" x14ac:dyDescent="0.25">
      <c r="A118" s="545" t="s">
        <v>229</v>
      </c>
      <c r="B118" s="7" t="s">
        <v>247</v>
      </c>
      <c r="C118" t="s">
        <v>289</v>
      </c>
      <c r="D118" t="s">
        <v>78</v>
      </c>
      <c r="E118" t="str">
        <f t="shared" si="6"/>
        <v>D3090 Other HVAC Systems &amp; Equipment_NOT USED</v>
      </c>
      <c r="F118" s="47"/>
      <c r="G118" s="3"/>
      <c r="H118" s="47"/>
      <c r="I118" s="3"/>
      <c r="J118" s="47"/>
      <c r="K118" s="3"/>
      <c r="L118" s="47"/>
      <c r="M118" s="3" t="s">
        <v>52</v>
      </c>
      <c r="N118" s="47"/>
      <c r="O118" s="3" t="s">
        <v>52</v>
      </c>
      <c r="P118" s="52">
        <f>SUMIF('Physical Condition Assessment'!H118:N118,"X",'PCA Cost Tables - READ ONLY'!F118:L118)</f>
        <v>0</v>
      </c>
      <c r="Q118" s="33"/>
      <c r="S118" s="599"/>
      <c r="U118" s="599"/>
      <c r="W118" s="599"/>
      <c r="Y118" s="599"/>
    </row>
    <row r="119" spans="1:25" ht="16" thickBot="1" x14ac:dyDescent="0.25">
      <c r="A119" s="545"/>
      <c r="B119" s="7"/>
      <c r="C119"/>
      <c r="D119"/>
      <c r="E119"/>
      <c r="F119" s="42"/>
      <c r="G119" s="3"/>
      <c r="H119" s="42"/>
      <c r="I119" s="3"/>
      <c r="J119" s="68"/>
      <c r="K119" s="3"/>
      <c r="L119" s="42"/>
      <c r="M119" s="3"/>
      <c r="N119" s="42"/>
      <c r="O119" s="3"/>
      <c r="P119" s="29"/>
      <c r="Q119" s="3"/>
      <c r="S119" s="599"/>
      <c r="U119" s="599"/>
      <c r="W119" s="599"/>
      <c r="Y119" s="599"/>
    </row>
    <row r="120" spans="1:25" ht="16" thickBot="1" x14ac:dyDescent="0.25">
      <c r="A120" s="545" t="s">
        <v>229</v>
      </c>
      <c r="B120" s="7" t="s">
        <v>290</v>
      </c>
      <c r="C120" t="s">
        <v>291</v>
      </c>
      <c r="D120" t="s">
        <v>893</v>
      </c>
      <c r="E120" t="str">
        <f t="shared" si="6"/>
        <v>D4010 Sprinklers_blank</v>
      </c>
      <c r="F120" s="46">
        <v>1.5583290000000001</v>
      </c>
      <c r="G120" s="3"/>
      <c r="H120" s="46">
        <v>5.616156000000001</v>
      </c>
      <c r="I120" s="3"/>
      <c r="J120" s="96">
        <v>14.271825</v>
      </c>
      <c r="K120" s="3"/>
      <c r="L120" s="46">
        <v>28.759656000000003</v>
      </c>
      <c r="M120" s="3" t="s">
        <v>52</v>
      </c>
      <c r="N120" s="46">
        <v>18.64</v>
      </c>
      <c r="O120" s="3" t="s">
        <v>52</v>
      </c>
      <c r="P120" s="52">
        <f>SUMIF('Physical Condition Assessment'!H120:N120,"X",'PCA Cost Tables - READ ONLY'!F120:L120)</f>
        <v>0</v>
      </c>
      <c r="Q120" s="4"/>
      <c r="S120" s="599"/>
      <c r="U120" s="599"/>
      <c r="W120" s="599"/>
      <c r="Y120" s="599"/>
    </row>
    <row r="121" spans="1:25" ht="16" thickBot="1" x14ac:dyDescent="0.25">
      <c r="A121" s="545" t="s">
        <v>229</v>
      </c>
      <c r="B121" s="546" t="s">
        <v>290</v>
      </c>
      <c r="C121" t="s">
        <v>294</v>
      </c>
      <c r="D121" t="s">
        <v>893</v>
      </c>
      <c r="E121" t="str">
        <f t="shared" si="6"/>
        <v>D4020 Standpipes_blank</v>
      </c>
      <c r="F121" s="46">
        <v>2.1292019999999998</v>
      </c>
      <c r="G121" s="3"/>
      <c r="H121" s="46">
        <v>3.4560960000000005</v>
      </c>
      <c r="I121" s="3"/>
      <c r="J121" s="96">
        <v>8.8716749999999998</v>
      </c>
      <c r="K121" s="3"/>
      <c r="L121" s="46">
        <v>15.799296</v>
      </c>
      <c r="M121" s="3" t="s">
        <v>52</v>
      </c>
      <c r="N121" s="46">
        <v>10.24</v>
      </c>
      <c r="O121" s="3" t="s">
        <v>52</v>
      </c>
      <c r="P121" s="52">
        <f>SUMIF('Physical Condition Assessment'!H121:N121,"X",'PCA Cost Tables - READ ONLY'!F121:L121)</f>
        <v>0</v>
      </c>
      <c r="Q121" s="4"/>
      <c r="S121" s="599"/>
      <c r="U121" s="599"/>
      <c r="W121" s="599"/>
      <c r="Y121" s="599"/>
    </row>
    <row r="122" spans="1:25" ht="16" thickBot="1" x14ac:dyDescent="0.25">
      <c r="A122" s="545" t="s">
        <v>229</v>
      </c>
      <c r="B122" s="546" t="s">
        <v>290</v>
      </c>
      <c r="C122" t="s">
        <v>296</v>
      </c>
      <c r="D122" t="s">
        <v>893</v>
      </c>
      <c r="E122" t="str">
        <f t="shared" si="6"/>
        <v>D4030 Fire Protection Specialties_blank</v>
      </c>
      <c r="F122" s="46">
        <v>11.539338000000001</v>
      </c>
      <c r="G122" s="3"/>
      <c r="H122" s="46">
        <v>11.539338000000001</v>
      </c>
      <c r="I122" s="3"/>
      <c r="J122" s="96">
        <v>43.419870000000003</v>
      </c>
      <c r="K122" s="3"/>
      <c r="L122" s="46">
        <v>63.066869999999994</v>
      </c>
      <c r="M122" s="3" t="s">
        <v>52</v>
      </c>
      <c r="N122" s="46">
        <v>48.15</v>
      </c>
      <c r="O122" s="3" t="s">
        <v>52</v>
      </c>
      <c r="P122" s="52">
        <f>SUMIF('Physical Condition Assessment'!H122:N122,"X",'PCA Cost Tables - READ ONLY'!F122:L122)</f>
        <v>0</v>
      </c>
      <c r="Q122" s="4"/>
      <c r="S122" s="599"/>
      <c r="U122" s="599"/>
      <c r="W122" s="599"/>
      <c r="Y122" s="599"/>
    </row>
    <row r="123" spans="1:25" ht="16" hidden="1" thickBot="1" x14ac:dyDescent="0.25">
      <c r="A123" s="545" t="s">
        <v>229</v>
      </c>
      <c r="B123" s="7" t="s">
        <v>290</v>
      </c>
      <c r="C123" t="s">
        <v>298</v>
      </c>
      <c r="D123" t="s">
        <v>893</v>
      </c>
      <c r="E123" t="str">
        <f t="shared" si="6"/>
        <v>D4090 Other Fire Protection Systems_blank</v>
      </c>
      <c r="F123" s="47"/>
      <c r="G123" s="3"/>
      <c r="H123" s="47"/>
      <c r="I123" s="3"/>
      <c r="J123" s="69"/>
      <c r="K123" s="3"/>
      <c r="L123" s="47"/>
      <c r="M123" s="3" t="s">
        <v>52</v>
      </c>
      <c r="N123" s="47"/>
      <c r="O123" s="3" t="s">
        <v>52</v>
      </c>
      <c r="P123" s="52">
        <f>SUMIF('Physical Condition Assessment'!H123:N123,"X",'PCA Cost Tables - READ ONLY'!F123:L123)</f>
        <v>0</v>
      </c>
      <c r="Q123" s="33"/>
      <c r="S123" s="599"/>
      <c r="U123" s="599"/>
      <c r="W123" s="599"/>
      <c r="Y123" s="599"/>
    </row>
    <row r="124" spans="1:25" ht="16" thickBot="1" x14ac:dyDescent="0.25">
      <c r="A124" s="545"/>
      <c r="B124" s="7"/>
      <c r="C124"/>
      <c r="D124"/>
      <c r="E124"/>
      <c r="F124" s="42"/>
      <c r="G124" s="3"/>
      <c r="H124" s="42"/>
      <c r="I124" s="3"/>
      <c r="J124" s="68"/>
      <c r="K124" s="3"/>
      <c r="L124" s="42"/>
      <c r="M124" s="3"/>
      <c r="N124" s="42"/>
      <c r="O124" s="3"/>
      <c r="P124" s="29"/>
      <c r="Q124" s="3"/>
      <c r="S124" s="599"/>
      <c r="U124" s="599"/>
      <c r="W124" s="599"/>
      <c r="Y124" s="599"/>
    </row>
    <row r="125" spans="1:25" ht="16" thickBot="1" x14ac:dyDescent="0.25">
      <c r="A125" s="545" t="s">
        <v>229</v>
      </c>
      <c r="B125" s="7" t="s">
        <v>299</v>
      </c>
      <c r="C125" t="s">
        <v>300</v>
      </c>
      <c r="D125" t="s">
        <v>893</v>
      </c>
      <c r="E125" t="str">
        <f t="shared" si="6"/>
        <v>D5010 Electrical Service &amp; Distribution_blank</v>
      </c>
      <c r="F125" s="46">
        <v>1.9119119999999998</v>
      </c>
      <c r="G125" s="3"/>
      <c r="H125" s="46">
        <v>5.5647520000000004</v>
      </c>
      <c r="I125" s="3"/>
      <c r="J125" s="46">
        <v>9.7460880000000003</v>
      </c>
      <c r="K125" s="3"/>
      <c r="L125" s="46">
        <v>12.606183999999999</v>
      </c>
      <c r="M125" s="3" t="s">
        <v>52</v>
      </c>
      <c r="N125" s="46">
        <v>18.11</v>
      </c>
      <c r="O125" s="3" t="s">
        <v>52</v>
      </c>
      <c r="P125" s="52">
        <f>SUMIF('Physical Condition Assessment'!H125:N125,"X",'PCA Cost Tables - READ ONLY'!F125:L125)</f>
        <v>0</v>
      </c>
      <c r="Q125" s="4"/>
      <c r="S125" s="599"/>
      <c r="U125" s="599"/>
      <c r="W125" s="599"/>
      <c r="Y125" s="599"/>
    </row>
    <row r="126" spans="1:25" ht="16" thickBot="1" x14ac:dyDescent="0.25">
      <c r="A126" s="545" t="s">
        <v>229</v>
      </c>
      <c r="B126" s="546" t="s">
        <v>299</v>
      </c>
      <c r="C126" t="s">
        <v>303</v>
      </c>
      <c r="D126" t="s">
        <v>893</v>
      </c>
      <c r="E126" t="str">
        <f t="shared" si="6"/>
        <v>D5020 Lighting and Branch Wiring_blank</v>
      </c>
      <c r="F126" s="46">
        <v>1.9119119999999998</v>
      </c>
      <c r="G126" s="3"/>
      <c r="H126" s="46">
        <v>6.2176</v>
      </c>
      <c r="I126" s="3"/>
      <c r="J126" s="46">
        <v>8.5336560000000006</v>
      </c>
      <c r="K126" s="3"/>
      <c r="L126" s="46">
        <v>27.979199999999999</v>
      </c>
      <c r="M126" s="3" t="s">
        <v>52</v>
      </c>
      <c r="N126" s="46">
        <v>37.950000000000003</v>
      </c>
      <c r="O126" s="3" t="s">
        <v>52</v>
      </c>
      <c r="P126" s="52">
        <f>SUMIF('Physical Condition Assessment'!H126:N126,"X",'PCA Cost Tables - READ ONLY'!F126:L126)</f>
        <v>0</v>
      </c>
      <c r="Q126" s="4"/>
      <c r="S126" s="599"/>
      <c r="U126" s="599"/>
      <c r="W126" s="599"/>
      <c r="Y126" s="599"/>
    </row>
    <row r="127" spans="1:25" ht="16" thickBot="1" x14ac:dyDescent="0.25">
      <c r="A127" s="545" t="s">
        <v>229</v>
      </c>
      <c r="B127" s="546" t="s">
        <v>299</v>
      </c>
      <c r="C127" t="s">
        <v>305</v>
      </c>
      <c r="D127" t="s">
        <v>306</v>
      </c>
      <c r="E127" t="str">
        <f t="shared" si="6"/>
        <v>D5030 Communications &amp; Security_Voice / Data System</v>
      </c>
      <c r="F127" s="46">
        <v>0.31087999999999999</v>
      </c>
      <c r="G127" s="3"/>
      <c r="H127" s="46">
        <v>1.9119119999999998</v>
      </c>
      <c r="I127" s="3"/>
      <c r="J127" s="46">
        <v>5.6580159999999999</v>
      </c>
      <c r="K127" s="3"/>
      <c r="L127" s="46">
        <v>18.652799999999999</v>
      </c>
      <c r="M127" s="3" t="s">
        <v>52</v>
      </c>
      <c r="N127" s="46">
        <v>18.64</v>
      </c>
      <c r="O127" s="3" t="s">
        <v>52</v>
      </c>
      <c r="P127" s="52">
        <f>SUMIF('Physical Condition Assessment'!H127:N127,"X",'PCA Cost Tables - READ ONLY'!F127:L127)</f>
        <v>0</v>
      </c>
      <c r="Q127" s="4"/>
      <c r="S127" s="599"/>
      <c r="U127" s="599"/>
      <c r="W127" s="599"/>
      <c r="Y127" s="599"/>
    </row>
    <row r="128" spans="1:25" ht="16" thickBot="1" x14ac:dyDescent="0.25">
      <c r="A128" s="545" t="s">
        <v>229</v>
      </c>
      <c r="B128" s="546" t="s">
        <v>299</v>
      </c>
      <c r="C128" t="s">
        <v>305</v>
      </c>
      <c r="D128" t="s">
        <v>308</v>
      </c>
      <c r="E128" t="str">
        <f t="shared" si="6"/>
        <v>D5030 Communications &amp; Security_Clock / Intercom System</v>
      </c>
      <c r="F128" s="46">
        <v>0.15543999999999999</v>
      </c>
      <c r="G128" s="3"/>
      <c r="H128" s="46">
        <v>0.43523200000000006</v>
      </c>
      <c r="I128" s="3"/>
      <c r="J128" s="46">
        <v>1.5544</v>
      </c>
      <c r="K128" s="3"/>
      <c r="L128" s="46">
        <v>3.1088</v>
      </c>
      <c r="M128" s="3" t="s">
        <v>52</v>
      </c>
      <c r="N128" s="46">
        <v>2</v>
      </c>
      <c r="O128" s="3" t="s">
        <v>52</v>
      </c>
      <c r="P128" s="52">
        <f>SUMIF('Physical Condition Assessment'!H128:N128,"X",'PCA Cost Tables - READ ONLY'!F128:L128)</f>
        <v>0</v>
      </c>
      <c r="Q128" s="4"/>
      <c r="S128" s="599"/>
      <c r="U128" s="599"/>
      <c r="W128" s="599"/>
      <c r="Y128" s="599"/>
    </row>
    <row r="129" spans="1:25" ht="16" thickBot="1" x14ac:dyDescent="0.25">
      <c r="A129" s="545" t="s">
        <v>229</v>
      </c>
      <c r="B129" s="546" t="s">
        <v>299</v>
      </c>
      <c r="C129" t="s">
        <v>305</v>
      </c>
      <c r="D129" t="s">
        <v>310</v>
      </c>
      <c r="E129" t="str">
        <f t="shared" si="6"/>
        <v>D5030 Communications &amp; Security_Closed Circuit Surveillance</v>
      </c>
      <c r="F129" s="46">
        <v>0.15543999999999999</v>
      </c>
      <c r="G129" s="3"/>
      <c r="H129" s="46">
        <v>0.52849600000000008</v>
      </c>
      <c r="I129" s="3"/>
      <c r="J129" s="46">
        <v>1.9119119999999998</v>
      </c>
      <c r="K129" s="3"/>
      <c r="L129" s="46">
        <v>3.4663119999999998</v>
      </c>
      <c r="M129" s="3" t="s">
        <v>52</v>
      </c>
      <c r="N129" s="46">
        <v>2.23</v>
      </c>
      <c r="O129" s="3" t="s">
        <v>52</v>
      </c>
      <c r="P129" s="52">
        <f>SUMIF('Physical Condition Assessment'!H129:N129,"X",'PCA Cost Tables - READ ONLY'!F129:L129)</f>
        <v>0</v>
      </c>
      <c r="Q129" s="4"/>
      <c r="S129" s="599"/>
      <c r="U129" s="599"/>
      <c r="W129" s="599"/>
      <c r="Y129" s="599"/>
    </row>
    <row r="130" spans="1:25" ht="16" thickBot="1" x14ac:dyDescent="0.25">
      <c r="A130" s="545" t="s">
        <v>229</v>
      </c>
      <c r="B130" s="546" t="s">
        <v>299</v>
      </c>
      <c r="C130" t="s">
        <v>305</v>
      </c>
      <c r="D130" t="s">
        <v>312</v>
      </c>
      <c r="E130" t="str">
        <f t="shared" si="6"/>
        <v>D5030 Communications &amp; Security_Access Control System</v>
      </c>
      <c r="F130" s="46">
        <v>0.10880800000000002</v>
      </c>
      <c r="G130" s="3"/>
      <c r="H130" s="46">
        <v>0.3886</v>
      </c>
      <c r="I130" s="3"/>
      <c r="J130" s="46">
        <v>1.5544</v>
      </c>
      <c r="K130" s="3"/>
      <c r="L130" s="46">
        <v>3.1088</v>
      </c>
      <c r="M130" s="3" t="s">
        <v>52</v>
      </c>
      <c r="N130" s="46">
        <v>2</v>
      </c>
      <c r="O130" s="3" t="s">
        <v>52</v>
      </c>
      <c r="P130" s="52">
        <f>SUMIF('Physical Condition Assessment'!H130:N130,"X",'PCA Cost Tables - READ ONLY'!F130:L130)</f>
        <v>0</v>
      </c>
      <c r="Q130" s="4"/>
      <c r="S130" s="599"/>
      <c r="U130" s="599"/>
      <c r="W130" s="599"/>
      <c r="Y130" s="599"/>
    </row>
    <row r="131" spans="1:25" ht="16" thickBot="1" x14ac:dyDescent="0.25">
      <c r="A131" s="545" t="s">
        <v>229</v>
      </c>
      <c r="B131" s="546" t="s">
        <v>299</v>
      </c>
      <c r="C131" t="s">
        <v>305</v>
      </c>
      <c r="D131" t="s">
        <v>314</v>
      </c>
      <c r="E131" t="str">
        <f t="shared" si="6"/>
        <v>D5030 Communications &amp; Security_Intrusion Alarm System</v>
      </c>
      <c r="F131" s="46">
        <v>0.10880800000000002</v>
      </c>
      <c r="G131" s="3"/>
      <c r="H131" s="46">
        <v>0.24870400000000001</v>
      </c>
      <c r="I131" s="3"/>
      <c r="J131" s="46">
        <v>1.1347119999999999</v>
      </c>
      <c r="K131" s="3"/>
      <c r="L131" s="46">
        <v>2.3315999999999999</v>
      </c>
      <c r="M131" s="3" t="s">
        <v>52</v>
      </c>
      <c r="N131" s="46">
        <v>1.5</v>
      </c>
      <c r="O131" s="3" t="s">
        <v>52</v>
      </c>
      <c r="P131" s="52">
        <f>SUMIF('Physical Condition Assessment'!H131:N131,"X",'PCA Cost Tables - READ ONLY'!F131:L131)</f>
        <v>0</v>
      </c>
      <c r="Q131" s="4"/>
      <c r="S131" s="599"/>
      <c r="U131" s="599"/>
      <c r="W131" s="599"/>
      <c r="Y131" s="599"/>
    </row>
    <row r="132" spans="1:25" ht="16" thickBot="1" x14ac:dyDescent="0.25">
      <c r="A132" s="545" t="s">
        <v>229</v>
      </c>
      <c r="B132" s="546" t="s">
        <v>299</v>
      </c>
      <c r="C132" t="s">
        <v>305</v>
      </c>
      <c r="D132" t="s">
        <v>316</v>
      </c>
      <c r="E132" t="str">
        <f t="shared" si="6"/>
        <v>D5030 Communications &amp; Security_Fire Alarm / Detection</v>
      </c>
      <c r="F132" s="46">
        <v>0.34196799999999999</v>
      </c>
      <c r="G132" s="3"/>
      <c r="H132" s="46">
        <v>0.73056799999999988</v>
      </c>
      <c r="I132" s="3"/>
      <c r="J132" s="46">
        <v>3.3108719999999998</v>
      </c>
      <c r="K132" s="3"/>
      <c r="L132" s="46">
        <v>6.6062000000000003</v>
      </c>
      <c r="M132" s="3" t="s">
        <v>52</v>
      </c>
      <c r="N132" s="46">
        <v>4.25</v>
      </c>
      <c r="O132" s="3" t="s">
        <v>52</v>
      </c>
      <c r="P132" s="52">
        <f>SUMIF('Physical Condition Assessment'!H132:N132,"X",'PCA Cost Tables - READ ONLY'!F132:L132)</f>
        <v>0</v>
      </c>
      <c r="Q132" s="56"/>
      <c r="S132" s="599"/>
      <c r="U132" s="599"/>
      <c r="W132" s="599"/>
      <c r="Y132" s="599"/>
    </row>
    <row r="133" spans="1:25" ht="16" thickBot="1" x14ac:dyDescent="0.25">
      <c r="A133" s="545" t="s">
        <v>229</v>
      </c>
      <c r="B133" s="546" t="s">
        <v>299</v>
      </c>
      <c r="C133" t="s">
        <v>305</v>
      </c>
      <c r="D133" t="s">
        <v>318</v>
      </c>
      <c r="E133" t="str">
        <f t="shared" si="6"/>
        <v>D5030 Communications &amp; Security_Lighting Control System</v>
      </c>
      <c r="F133" s="46">
        <v>0.170984</v>
      </c>
      <c r="G133" s="3"/>
      <c r="H133" s="46">
        <v>0.3886</v>
      </c>
      <c r="I133" s="3"/>
      <c r="J133" s="46">
        <v>1.305696</v>
      </c>
      <c r="K133" s="3"/>
      <c r="L133" s="46">
        <v>2.4870399999999999</v>
      </c>
      <c r="M133" s="3" t="s">
        <v>52</v>
      </c>
      <c r="N133" s="46">
        <v>1.6</v>
      </c>
      <c r="O133" s="3" t="s">
        <v>52</v>
      </c>
      <c r="P133" s="52">
        <f>SUMIF('Physical Condition Assessment'!H133:N133,"X",'PCA Cost Tables - READ ONLY'!F133:L133)</f>
        <v>0</v>
      </c>
      <c r="Q133" s="4"/>
      <c r="S133" s="599"/>
      <c r="U133" s="599"/>
      <c r="W133" s="599"/>
      <c r="Y133" s="599"/>
    </row>
    <row r="134" spans="1:25" ht="16" hidden="1" thickBot="1" x14ac:dyDescent="0.25">
      <c r="A134" s="6" t="s">
        <v>229</v>
      </c>
      <c r="B134" s="7" t="s">
        <v>299</v>
      </c>
      <c r="C134" t="s">
        <v>320</v>
      </c>
      <c r="D134" t="s">
        <v>78</v>
      </c>
      <c r="E134" t="str">
        <f t="shared" si="6"/>
        <v>D5090 Other Electrical Systems_NOT USED</v>
      </c>
      <c r="F134" s="46"/>
      <c r="G134" s="3"/>
      <c r="H134" s="46"/>
      <c r="I134" s="3"/>
      <c r="J134" s="47"/>
      <c r="K134" s="3"/>
      <c r="L134" s="47"/>
      <c r="M134" s="3" t="s">
        <v>52</v>
      </c>
      <c r="N134" s="47"/>
      <c r="O134" s="3" t="s">
        <v>52</v>
      </c>
      <c r="P134" s="52">
        <f>SUMIF('Physical Condition Assessment'!H134:N134,"X",'PCA Cost Tables - READ ONLY'!F134:L134)</f>
        <v>0</v>
      </c>
      <c r="Q134" s="33"/>
      <c r="S134" s="599"/>
      <c r="U134" s="599"/>
      <c r="W134" s="599"/>
      <c r="Y134" s="599"/>
    </row>
    <row r="135" spans="1:25" x14ac:dyDescent="0.2">
      <c r="A135" s="6"/>
      <c r="B135" s="7"/>
      <c r="C135"/>
      <c r="D135"/>
      <c r="E135"/>
      <c r="F135" s="42"/>
      <c r="G135" s="3"/>
      <c r="H135" s="42"/>
      <c r="I135" s="3"/>
      <c r="J135" s="42"/>
      <c r="K135" s="3"/>
      <c r="L135" s="42"/>
      <c r="M135" s="3"/>
      <c r="N135" s="42"/>
      <c r="O135" s="3"/>
      <c r="P135" s="55"/>
      <c r="Q135" s="3"/>
      <c r="S135" s="599"/>
      <c r="U135" s="599"/>
      <c r="W135" s="599"/>
      <c r="Y135" s="599"/>
    </row>
    <row r="136" spans="1:25" x14ac:dyDescent="0.2">
      <c r="A136" s="14" t="s">
        <v>321</v>
      </c>
      <c r="B136" s="18"/>
      <c r="C136" s="15"/>
      <c r="D136" s="15"/>
      <c r="E136" s="15"/>
      <c r="F136" s="45"/>
      <c r="G136" s="17"/>
      <c r="H136" s="45"/>
      <c r="I136" s="17"/>
      <c r="J136" s="45"/>
      <c r="K136" s="17"/>
      <c r="L136" s="45"/>
      <c r="M136" s="17"/>
      <c r="N136" s="45"/>
      <c r="O136" s="17"/>
      <c r="P136" s="51"/>
      <c r="Q136" s="17"/>
      <c r="S136" s="599"/>
      <c r="U136" s="599"/>
      <c r="W136" s="599"/>
      <c r="Y136" s="599"/>
    </row>
    <row r="137" spans="1:25" ht="16" thickBot="1" x14ac:dyDescent="0.25">
      <c r="A137" s="6"/>
      <c r="B137" s="7"/>
      <c r="C137"/>
      <c r="D137"/>
      <c r="E137"/>
      <c r="F137" s="42"/>
      <c r="G137" s="3"/>
      <c r="H137" s="42"/>
      <c r="I137" s="3"/>
      <c r="J137" s="42"/>
      <c r="K137" s="3"/>
      <c r="L137" s="42"/>
      <c r="M137" s="3"/>
      <c r="N137" s="42"/>
      <c r="O137" s="3"/>
      <c r="P137" s="29"/>
      <c r="Q137" s="3"/>
      <c r="S137" s="599"/>
      <c r="U137" s="599"/>
      <c r="W137" s="599"/>
      <c r="Y137" s="599"/>
    </row>
    <row r="138" spans="1:25" ht="16" thickBot="1" x14ac:dyDescent="0.25">
      <c r="A138" s="545" t="s">
        <v>321</v>
      </c>
      <c r="B138" s="7" t="s">
        <v>322</v>
      </c>
      <c r="C138" t="s">
        <v>323</v>
      </c>
      <c r="D138" t="s">
        <v>324</v>
      </c>
      <c r="E138" t="str">
        <f t="shared" si="6"/>
        <v>E1010 Commercial Equipment_Food Service</v>
      </c>
      <c r="F138" s="46">
        <v>0.6994800000000001</v>
      </c>
      <c r="G138" s="3"/>
      <c r="H138" s="46">
        <v>1.1347119999999999</v>
      </c>
      <c r="I138" s="3"/>
      <c r="J138" s="46">
        <v>1.3989600000000002</v>
      </c>
      <c r="K138" s="3"/>
      <c r="L138" s="46">
        <v>3.6528400000000003</v>
      </c>
      <c r="M138" s="3" t="s">
        <v>52</v>
      </c>
      <c r="N138" s="46">
        <v>2.85</v>
      </c>
      <c r="O138" s="3" t="s">
        <v>52</v>
      </c>
      <c r="P138" s="52">
        <f>SUMIF('Physical Condition Assessment'!H137:N137,"X",'PCA Cost Tables - READ ONLY'!F138:L138)</f>
        <v>0</v>
      </c>
      <c r="Q138" s="4"/>
      <c r="S138" s="599"/>
      <c r="U138" s="599"/>
      <c r="W138" s="599"/>
      <c r="Y138" s="599"/>
    </row>
    <row r="139" spans="1:25" ht="16" thickBot="1" x14ac:dyDescent="0.25">
      <c r="A139" s="545" t="s">
        <v>321</v>
      </c>
      <c r="B139" s="546" t="s">
        <v>322</v>
      </c>
      <c r="C139" t="s">
        <v>323</v>
      </c>
      <c r="D139" t="s">
        <v>327</v>
      </c>
      <c r="E139" t="str">
        <f t="shared" ref="E139:E172" si="7">C139&amp;"_"&amp;D139</f>
        <v>E1010 Commercial Equipment_Vocational</v>
      </c>
      <c r="F139" s="46">
        <v>2.1711999999999998</v>
      </c>
      <c r="G139" s="3"/>
      <c r="H139" s="46">
        <v>5.5105999999999993</v>
      </c>
      <c r="I139" s="3"/>
      <c r="J139" s="46">
        <v>10.891399999999999</v>
      </c>
      <c r="K139" s="3"/>
      <c r="L139" s="46">
        <v>39.187799999999996</v>
      </c>
      <c r="M139" s="3" t="s">
        <v>52</v>
      </c>
      <c r="N139" s="46">
        <v>2.66</v>
      </c>
      <c r="O139" s="3" t="s">
        <v>52</v>
      </c>
      <c r="P139" s="52">
        <f>SUMIF('Physical Condition Assessment'!H138:N138,"X",'PCA Cost Tables - READ ONLY'!F139:L139)</f>
        <v>0</v>
      </c>
      <c r="Q139" s="4"/>
      <c r="S139" s="599"/>
      <c r="U139" s="599"/>
      <c r="W139" s="599"/>
      <c r="Y139" s="599"/>
    </row>
    <row r="140" spans="1:25" ht="16" thickBot="1" x14ac:dyDescent="0.25">
      <c r="A140" s="545" t="s">
        <v>321</v>
      </c>
      <c r="B140" s="546" t="s">
        <v>322</v>
      </c>
      <c r="C140" t="s">
        <v>329</v>
      </c>
      <c r="D140" t="s">
        <v>330</v>
      </c>
      <c r="E140" t="str">
        <f t="shared" si="7"/>
        <v>E1020 Institutional Equipment_Science</v>
      </c>
      <c r="F140" s="46">
        <v>2.5938359999999996</v>
      </c>
      <c r="G140" s="3"/>
      <c r="H140" s="46">
        <v>6.5846999999999998</v>
      </c>
      <c r="I140" s="3"/>
      <c r="J140" s="46">
        <v>13.0143</v>
      </c>
      <c r="K140" s="3"/>
      <c r="L140" s="46">
        <v>46.826099999999997</v>
      </c>
      <c r="M140" s="3" t="s">
        <v>52</v>
      </c>
      <c r="N140" s="46">
        <v>4.46</v>
      </c>
      <c r="O140" s="3" t="s">
        <v>52</v>
      </c>
      <c r="P140" s="52">
        <f>SUMIF('Physical Condition Assessment'!H139:N139,"X",'PCA Cost Tables - READ ONLY'!F140:L140)</f>
        <v>0</v>
      </c>
      <c r="Q140" s="4"/>
      <c r="S140" s="599"/>
      <c r="U140" s="599"/>
      <c r="W140" s="599"/>
      <c r="Y140" s="599"/>
    </row>
    <row r="141" spans="1:25" ht="16" thickBot="1" x14ac:dyDescent="0.25">
      <c r="A141" s="545" t="s">
        <v>321</v>
      </c>
      <c r="B141" s="546" t="s">
        <v>322</v>
      </c>
      <c r="C141" t="s">
        <v>329</v>
      </c>
      <c r="D141" t="s">
        <v>332</v>
      </c>
      <c r="E141" t="str">
        <f t="shared" si="7"/>
        <v>E1020 Institutional Equipment_Art</v>
      </c>
      <c r="F141" s="46">
        <v>2.334276</v>
      </c>
      <c r="G141" s="3"/>
      <c r="H141" s="46">
        <v>3.6933999999999996</v>
      </c>
      <c r="I141" s="3"/>
      <c r="J141" s="46">
        <v>7.375</v>
      </c>
      <c r="K141" s="3"/>
      <c r="L141" s="46">
        <v>32.449999999999996</v>
      </c>
      <c r="M141" s="3" t="s">
        <v>52</v>
      </c>
      <c r="N141" s="46">
        <v>4.3099999999999996</v>
      </c>
      <c r="O141" s="3" t="s">
        <v>52</v>
      </c>
      <c r="P141" s="52">
        <f>SUMIF('Physical Condition Assessment'!H140:N140,"X",'PCA Cost Tables - READ ONLY'!F141:L141)</f>
        <v>0</v>
      </c>
      <c r="Q141" s="4"/>
      <c r="S141" s="599"/>
      <c r="U141" s="599"/>
      <c r="W141" s="599"/>
      <c r="Y141" s="599"/>
    </row>
    <row r="142" spans="1:25" ht="16" thickBot="1" x14ac:dyDescent="0.25">
      <c r="A142" s="545" t="s">
        <v>321</v>
      </c>
      <c r="B142" s="546" t="s">
        <v>322</v>
      </c>
      <c r="C142" t="s">
        <v>329</v>
      </c>
      <c r="D142" t="s">
        <v>334</v>
      </c>
      <c r="E142" t="str">
        <f t="shared" si="7"/>
        <v>E1020 Institutional Equipment_Stage Performance</v>
      </c>
      <c r="F142" s="46">
        <v>7.4339999999999993</v>
      </c>
      <c r="G142" s="3"/>
      <c r="H142" s="38">
        <v>17.8416</v>
      </c>
      <c r="I142" s="3"/>
      <c r="J142" s="38">
        <v>37.169999999999995</v>
      </c>
      <c r="K142" s="3"/>
      <c r="L142" s="38">
        <v>89.207999999999984</v>
      </c>
      <c r="M142" s="3" t="s">
        <v>52</v>
      </c>
      <c r="N142" s="38">
        <v>35000</v>
      </c>
      <c r="O142" s="3" t="s">
        <v>52</v>
      </c>
      <c r="P142" s="52">
        <f>SUMIF('Physical Condition Assessment'!H141:N141,"X",'PCA Cost Tables - READ ONLY'!F142:L142)</f>
        <v>0</v>
      </c>
      <c r="Q142" s="4" t="s">
        <v>906</v>
      </c>
      <c r="S142" s="599"/>
      <c r="U142" s="599"/>
      <c r="W142" s="599"/>
      <c r="Y142" s="599"/>
    </row>
    <row r="143" spans="1:25" ht="16" thickBot="1" x14ac:dyDescent="0.25">
      <c r="A143" s="545" t="s">
        <v>321</v>
      </c>
      <c r="B143" s="546" t="s">
        <v>322</v>
      </c>
      <c r="C143" t="s">
        <v>329</v>
      </c>
      <c r="D143" t="s">
        <v>336</v>
      </c>
      <c r="E143" t="str">
        <f t="shared" si="7"/>
        <v>E1020 Institutional Equipment_Restroom Accessories/Stalls</v>
      </c>
      <c r="F143" s="46">
        <v>0.28815600000000002</v>
      </c>
      <c r="G143" s="3"/>
      <c r="H143" s="46">
        <v>1.6634460000000002</v>
      </c>
      <c r="I143" s="3"/>
      <c r="J143" s="46">
        <v>0.510822</v>
      </c>
      <c r="K143" s="3"/>
      <c r="L143" s="46">
        <v>2.593404</v>
      </c>
      <c r="M143" s="3" t="s">
        <v>52</v>
      </c>
      <c r="N143" s="46">
        <v>1.48</v>
      </c>
      <c r="O143" s="3" t="s">
        <v>52</v>
      </c>
      <c r="P143" s="52">
        <f>SUMIF('Physical Condition Assessment'!H142:N142,"X",'PCA Cost Tables - READ ONLY'!F143:L143)</f>
        <v>0</v>
      </c>
      <c r="Q143" s="4"/>
      <c r="S143" s="599"/>
      <c r="U143" s="599"/>
      <c r="W143" s="599"/>
      <c r="Y143" s="599"/>
    </row>
    <row r="144" spans="1:25" ht="16" hidden="1" thickBot="1" x14ac:dyDescent="0.25">
      <c r="A144" s="545" t="s">
        <v>321</v>
      </c>
      <c r="B144" s="7" t="s">
        <v>322</v>
      </c>
      <c r="C144" t="s">
        <v>338</v>
      </c>
      <c r="D144" t="s">
        <v>78</v>
      </c>
      <c r="E144" t="str">
        <f t="shared" si="7"/>
        <v>E1030 Vehicular Equipment_NOT USED</v>
      </c>
      <c r="F144" s="47"/>
      <c r="G144" s="3"/>
      <c r="H144" s="47"/>
      <c r="I144" s="3"/>
      <c r="J144" s="47"/>
      <c r="K144" s="3"/>
      <c r="L144" s="47"/>
      <c r="M144" s="3" t="s">
        <v>52</v>
      </c>
      <c r="N144" s="47"/>
      <c r="O144" s="3" t="s">
        <v>52</v>
      </c>
      <c r="P144" s="52">
        <f>SUMIF('Physical Condition Assessment'!H143:N143,"X",'PCA Cost Tables - READ ONLY'!F144:L144)</f>
        <v>0</v>
      </c>
      <c r="Q144" s="33"/>
      <c r="S144" s="599"/>
      <c r="U144" s="599"/>
      <c r="W144" s="599"/>
      <c r="Y144" s="599"/>
    </row>
    <row r="145" spans="1:25" ht="16" hidden="1" thickBot="1" x14ac:dyDescent="0.25">
      <c r="A145" s="545" t="s">
        <v>321</v>
      </c>
      <c r="B145" s="7" t="s">
        <v>322</v>
      </c>
      <c r="C145" t="s">
        <v>339</v>
      </c>
      <c r="D145" t="s">
        <v>78</v>
      </c>
      <c r="E145" t="str">
        <f t="shared" si="7"/>
        <v>E1090 Other Equipment_NOT USED</v>
      </c>
      <c r="F145" s="47"/>
      <c r="G145" s="3"/>
      <c r="H145" s="47"/>
      <c r="I145" s="3"/>
      <c r="J145" s="47"/>
      <c r="K145" s="3"/>
      <c r="L145" s="47"/>
      <c r="M145" s="3" t="s">
        <v>52</v>
      </c>
      <c r="N145" s="47"/>
      <c r="O145" s="3" t="s">
        <v>52</v>
      </c>
      <c r="P145" s="52">
        <f>SUMIF('Physical Condition Assessment'!H144:N144,"X",'PCA Cost Tables - READ ONLY'!F145:L145)</f>
        <v>0</v>
      </c>
      <c r="Q145" s="33"/>
      <c r="S145" s="599"/>
      <c r="U145" s="599"/>
      <c r="W145" s="599"/>
      <c r="Y145" s="599"/>
    </row>
    <row r="146" spans="1:25" ht="16" thickBot="1" x14ac:dyDescent="0.25">
      <c r="A146" s="545"/>
      <c r="B146" s="7"/>
      <c r="C146"/>
      <c r="D146"/>
      <c r="E146"/>
      <c r="F146" s="42"/>
      <c r="G146" s="3"/>
      <c r="H146" s="42"/>
      <c r="I146" s="3"/>
      <c r="J146" s="68"/>
      <c r="K146" s="3"/>
      <c r="L146" s="42"/>
      <c r="M146" s="3"/>
      <c r="N146" s="42"/>
      <c r="O146" s="3"/>
      <c r="P146" s="29"/>
      <c r="Q146" s="3"/>
      <c r="S146" s="599"/>
      <c r="U146" s="599"/>
      <c r="W146" s="599"/>
      <c r="Y146" s="599"/>
    </row>
    <row r="147" spans="1:25" ht="16" thickBot="1" x14ac:dyDescent="0.25">
      <c r="A147" s="545" t="s">
        <v>321</v>
      </c>
      <c r="B147" s="7" t="s">
        <v>340</v>
      </c>
      <c r="C147" t="s">
        <v>341</v>
      </c>
      <c r="D147" t="s">
        <v>893</v>
      </c>
      <c r="E147" t="str">
        <f t="shared" si="7"/>
        <v>E2010 Fixed Furnishings_blank</v>
      </c>
      <c r="F147" s="46">
        <v>2.0502499999999997</v>
      </c>
      <c r="G147" s="3"/>
      <c r="H147" s="46">
        <v>3.4662499999999996</v>
      </c>
      <c r="I147" s="3"/>
      <c r="J147" s="46">
        <v>5.5165000000000006</v>
      </c>
      <c r="K147" s="3"/>
      <c r="L147" s="46">
        <v>13.747</v>
      </c>
      <c r="M147" s="3" t="s">
        <v>52</v>
      </c>
      <c r="N147" s="46">
        <v>16.32</v>
      </c>
      <c r="O147" s="3" t="s">
        <v>52</v>
      </c>
      <c r="P147" s="52">
        <f>SUMIF('Physical Condition Assessment'!H146:N146,"X",'PCA Cost Tables - READ ONLY'!F147:L147)</f>
        <v>0</v>
      </c>
      <c r="Q147" s="4"/>
      <c r="S147" s="599"/>
      <c r="U147" s="599"/>
      <c r="W147" s="599"/>
      <c r="Y147" s="599"/>
    </row>
    <row r="148" spans="1:25" ht="16" thickBot="1" x14ac:dyDescent="0.25">
      <c r="A148" s="545" t="s">
        <v>321</v>
      </c>
      <c r="B148" s="546" t="s">
        <v>340</v>
      </c>
      <c r="C148" t="s">
        <v>343</v>
      </c>
      <c r="D148" t="s">
        <v>893</v>
      </c>
      <c r="E148" t="str">
        <f t="shared" si="7"/>
        <v>E2020 Movable Furnishings_blank</v>
      </c>
      <c r="F148" s="46">
        <v>13.098000000000001</v>
      </c>
      <c r="G148" s="3"/>
      <c r="H148" s="47">
        <v>0</v>
      </c>
      <c r="I148" s="3"/>
      <c r="J148" s="47">
        <v>0</v>
      </c>
      <c r="K148" s="3"/>
      <c r="L148" s="46">
        <v>31.435199999999998</v>
      </c>
      <c r="M148" s="3" t="s">
        <v>52</v>
      </c>
      <c r="N148" s="46">
        <v>24</v>
      </c>
      <c r="O148" s="3" t="s">
        <v>52</v>
      </c>
      <c r="P148" s="52">
        <f>SUMIF('Physical Condition Assessment'!H147:N147,"X",'PCA Cost Tables - READ ONLY'!F148:L148)</f>
        <v>0</v>
      </c>
      <c r="Q148" s="56"/>
      <c r="S148" s="599"/>
      <c r="U148" s="599"/>
      <c r="W148" s="599"/>
      <c r="Y148" s="599"/>
    </row>
    <row r="149" spans="1:25" x14ac:dyDescent="0.2">
      <c r="A149" s="14" t="s">
        <v>345</v>
      </c>
      <c r="B149" s="18"/>
      <c r="C149" s="15"/>
      <c r="D149" s="15"/>
      <c r="E149" s="15"/>
      <c r="F149" s="45"/>
      <c r="G149" s="17"/>
      <c r="H149" s="45"/>
      <c r="I149" s="17"/>
      <c r="J149" s="45"/>
      <c r="K149" s="17"/>
      <c r="L149" s="45"/>
      <c r="M149" s="17"/>
      <c r="N149" s="45"/>
      <c r="O149" s="17"/>
      <c r="P149" s="51"/>
      <c r="Q149" s="17"/>
      <c r="S149" s="599"/>
      <c r="U149" s="599"/>
      <c r="W149" s="599"/>
      <c r="Y149" s="599"/>
    </row>
    <row r="150" spans="1:25" x14ac:dyDescent="0.2">
      <c r="A150" s="6"/>
      <c r="B150"/>
      <c r="C150"/>
      <c r="D150"/>
      <c r="E150"/>
      <c r="F150" s="42"/>
      <c r="G150" s="3"/>
      <c r="H150" s="42"/>
      <c r="I150" s="3"/>
      <c r="J150" s="42"/>
      <c r="K150" s="3"/>
      <c r="L150" s="42"/>
      <c r="M150" s="3"/>
      <c r="N150" s="42"/>
      <c r="O150" s="3"/>
      <c r="P150" s="29"/>
      <c r="Q150" s="3"/>
      <c r="S150" s="599"/>
      <c r="U150" s="599"/>
      <c r="W150" s="599"/>
      <c r="Y150" s="599"/>
    </row>
    <row r="151" spans="1:25" x14ac:dyDescent="0.2">
      <c r="A151" s="14" t="s">
        <v>346</v>
      </c>
      <c r="B151" s="15"/>
      <c r="C151" s="15"/>
      <c r="D151" s="15"/>
      <c r="E151" s="15"/>
      <c r="F151" s="45"/>
      <c r="G151" s="17"/>
      <c r="H151" s="45"/>
      <c r="I151" s="17"/>
      <c r="J151" s="45"/>
      <c r="K151" s="17"/>
      <c r="L151" s="45"/>
      <c r="M151" s="17"/>
      <c r="N151" s="45"/>
      <c r="O151" s="17"/>
      <c r="P151" s="51"/>
      <c r="Q151" s="17"/>
      <c r="S151" s="599"/>
      <c r="U151" s="599"/>
      <c r="W151" s="599"/>
      <c r="Y151" s="599"/>
    </row>
    <row r="152" spans="1:25" hidden="1" x14ac:dyDescent="0.2">
      <c r="A152" t="s">
        <v>346</v>
      </c>
      <c r="B152" s="7" t="s">
        <v>347</v>
      </c>
      <c r="C152" t="s">
        <v>343</v>
      </c>
      <c r="D152" t="s">
        <v>78</v>
      </c>
      <c r="E152" t="str">
        <f t="shared" si="7"/>
        <v>E2020 Movable Furnishings_NOT USED</v>
      </c>
      <c r="F152" s="42"/>
      <c r="G152" s="3"/>
      <c r="H152" s="42"/>
      <c r="I152" s="3"/>
      <c r="J152" s="42"/>
      <c r="K152" s="3"/>
      <c r="L152" s="42"/>
      <c r="M152" s="3"/>
      <c r="N152" s="42"/>
      <c r="O152" s="3"/>
      <c r="P152" s="29"/>
      <c r="Q152" s="3"/>
      <c r="S152" s="599"/>
      <c r="U152" s="599"/>
      <c r="W152" s="599"/>
      <c r="Y152" s="599"/>
    </row>
    <row r="153" spans="1:25" ht="16" thickBot="1" x14ac:dyDescent="0.25">
      <c r="A153"/>
      <c r="B153" s="7"/>
      <c r="C153"/>
      <c r="D153"/>
      <c r="E153"/>
      <c r="F153" s="48"/>
      <c r="G153" s="3"/>
      <c r="H153" s="48"/>
      <c r="I153" s="3"/>
      <c r="J153" s="48"/>
      <c r="K153" s="3"/>
      <c r="L153" s="48"/>
      <c r="M153" s="3"/>
      <c r="N153" s="48"/>
      <c r="O153" s="3"/>
      <c r="P153" s="55"/>
      <c r="Q153" s="34"/>
      <c r="S153" s="599"/>
      <c r="U153" s="599"/>
      <c r="W153" s="599"/>
      <c r="Y153" s="599"/>
    </row>
    <row r="154" spans="1:25" ht="16" thickBot="1" x14ac:dyDescent="0.25">
      <c r="A154" s="544" t="s">
        <v>346</v>
      </c>
      <c r="B154" s="7" t="s">
        <v>348</v>
      </c>
      <c r="C154" t="s">
        <v>349</v>
      </c>
      <c r="D154" t="s">
        <v>893</v>
      </c>
      <c r="E154" t="str">
        <f t="shared" si="7"/>
        <v>G2010 Roadways_blank</v>
      </c>
      <c r="F154" s="46">
        <v>2.0563860000000003</v>
      </c>
      <c r="G154" s="3"/>
      <c r="H154" s="46">
        <v>5.2392000000000003</v>
      </c>
      <c r="I154" s="3"/>
      <c r="J154" s="46">
        <v>8.5137</v>
      </c>
      <c r="K154" s="3"/>
      <c r="L154" s="46">
        <v>10.478400000000001</v>
      </c>
      <c r="M154" s="3" t="s">
        <v>52</v>
      </c>
      <c r="N154" s="46">
        <v>8</v>
      </c>
      <c r="O154" s="3" t="s">
        <v>52</v>
      </c>
      <c r="P154" s="52">
        <f>SUMIF('Physical Condition Assessment'!H152:N152,"X",'PCA Cost Tables - READ ONLY'!F154:L154)</f>
        <v>0</v>
      </c>
      <c r="Q154" s="4" t="s">
        <v>907</v>
      </c>
      <c r="S154" s="599"/>
      <c r="U154" s="599"/>
      <c r="W154" s="599"/>
      <c r="Y154" s="599"/>
    </row>
    <row r="155" spans="1:25" ht="16" thickBot="1" x14ac:dyDescent="0.25">
      <c r="A155" s="544" t="s">
        <v>346</v>
      </c>
      <c r="B155" s="546" t="s">
        <v>348</v>
      </c>
      <c r="C155" t="s">
        <v>352</v>
      </c>
      <c r="D155" t="s">
        <v>893</v>
      </c>
      <c r="E155" t="str">
        <f t="shared" si="7"/>
        <v>G2020 Parking Lots_blank</v>
      </c>
      <c r="F155" s="46">
        <v>2.0563860000000003</v>
      </c>
      <c r="G155" s="3"/>
      <c r="H155" s="46">
        <v>5.2392000000000003</v>
      </c>
      <c r="I155" s="3"/>
      <c r="J155" s="46">
        <v>8.5137</v>
      </c>
      <c r="K155" s="3"/>
      <c r="L155" s="46">
        <v>10.478400000000001</v>
      </c>
      <c r="M155" s="3" t="s">
        <v>52</v>
      </c>
      <c r="N155" s="46">
        <v>8</v>
      </c>
      <c r="O155" s="3" t="s">
        <v>52</v>
      </c>
      <c r="P155" s="52">
        <f>SUMIF('Physical Condition Assessment'!H153:N153,"X",'PCA Cost Tables - READ ONLY'!F155:L155)</f>
        <v>0</v>
      </c>
      <c r="Q155" s="4" t="s">
        <v>907</v>
      </c>
      <c r="S155" s="599"/>
      <c r="U155" s="599"/>
      <c r="W155" s="599"/>
      <c r="Y155" s="599"/>
    </row>
    <row r="156" spans="1:25" ht="16" thickBot="1" x14ac:dyDescent="0.25">
      <c r="A156" s="544" t="s">
        <v>346</v>
      </c>
      <c r="B156" s="546" t="s">
        <v>348</v>
      </c>
      <c r="C156" t="s">
        <v>354</v>
      </c>
      <c r="D156" t="s">
        <v>893</v>
      </c>
      <c r="E156" t="str">
        <f t="shared" si="7"/>
        <v>G2030 Pedestrian Paving_blank</v>
      </c>
      <c r="F156" s="46">
        <v>2.6196000000000002</v>
      </c>
      <c r="G156" s="3"/>
      <c r="H156" s="46">
        <v>5.8940999999999999</v>
      </c>
      <c r="I156" s="3"/>
      <c r="J156" s="46">
        <v>11.7882</v>
      </c>
      <c r="K156" s="3"/>
      <c r="L156" s="46">
        <v>14.4078</v>
      </c>
      <c r="M156" s="3" t="s">
        <v>52</v>
      </c>
      <c r="N156" s="46">
        <v>11</v>
      </c>
      <c r="O156" s="3" t="s">
        <v>52</v>
      </c>
      <c r="P156" s="52">
        <f>SUMIF('Physical Condition Assessment'!H154:N154,"X",'PCA Cost Tables - READ ONLY'!F156:L156)</f>
        <v>0</v>
      </c>
      <c r="Q156" s="4" t="s">
        <v>907</v>
      </c>
      <c r="S156" s="599"/>
      <c r="U156" s="599"/>
      <c r="W156" s="599"/>
      <c r="Y156" s="599"/>
    </row>
    <row r="157" spans="1:25" ht="16" thickBot="1" x14ac:dyDescent="0.25">
      <c r="A157" s="544" t="s">
        <v>346</v>
      </c>
      <c r="B157" s="546" t="s">
        <v>348</v>
      </c>
      <c r="C157" t="s">
        <v>356</v>
      </c>
      <c r="D157" t="s">
        <v>893</v>
      </c>
      <c r="E157" t="str">
        <f t="shared" si="7"/>
        <v>G2040 Site Development_blank</v>
      </c>
      <c r="F157" s="46">
        <v>7.8587999999999996</v>
      </c>
      <c r="G157" s="3"/>
      <c r="H157" s="46">
        <v>10.478400000000001</v>
      </c>
      <c r="I157" s="3"/>
      <c r="J157" s="46">
        <v>32.745000000000005</v>
      </c>
      <c r="K157" s="3"/>
      <c r="L157" s="46">
        <v>45.842999999999996</v>
      </c>
      <c r="M157" s="3" t="s">
        <v>52</v>
      </c>
      <c r="N157" s="46">
        <v>35</v>
      </c>
      <c r="O157" s="3" t="s">
        <v>52</v>
      </c>
      <c r="P157" s="52">
        <f>SUMIF('Physical Condition Assessment'!H155:N155,"X",'PCA Cost Tables - READ ONLY'!F157:L157)</f>
        <v>0</v>
      </c>
      <c r="Q157" s="4" t="s">
        <v>908</v>
      </c>
      <c r="S157" s="599"/>
      <c r="U157" s="599"/>
      <c r="W157" s="599"/>
      <c r="Y157" s="599"/>
    </row>
    <row r="158" spans="1:25" ht="16" thickBot="1" x14ac:dyDescent="0.25">
      <c r="A158" s="544" t="s">
        <v>346</v>
      </c>
      <c r="B158" s="544" t="s">
        <v>348</v>
      </c>
      <c r="C158" t="s">
        <v>359</v>
      </c>
      <c r="D158" t="s">
        <v>893</v>
      </c>
      <c r="E158" t="str">
        <f t="shared" si="7"/>
        <v>G2050 Landscaping_blank</v>
      </c>
      <c r="F158" s="46">
        <v>2.6196000000000002</v>
      </c>
      <c r="G158" s="3"/>
      <c r="H158" s="46">
        <v>2.8815600000000008</v>
      </c>
      <c r="I158" s="3"/>
      <c r="J158" s="46">
        <v>3.0125399999999996</v>
      </c>
      <c r="K158" s="3"/>
      <c r="L158" s="46">
        <v>3.2745000000000002</v>
      </c>
      <c r="M158" s="3" t="s">
        <v>52</v>
      </c>
      <c r="N158" s="46">
        <v>2.5</v>
      </c>
      <c r="O158" s="3" t="s">
        <v>52</v>
      </c>
      <c r="P158" s="52">
        <f>SUMIF('Physical Condition Assessment'!H156:N156,"X",'PCA Cost Tables - READ ONLY'!F158:L158)</f>
        <v>0</v>
      </c>
      <c r="Q158" s="4" t="s">
        <v>909</v>
      </c>
      <c r="S158" s="599"/>
      <c r="U158" s="599"/>
      <c r="W158" s="599"/>
      <c r="Y158" s="599"/>
    </row>
    <row r="159" spans="1:25" ht="16" thickBot="1" x14ac:dyDescent="0.25">
      <c r="A159" s="544"/>
      <c r="B159" s="7"/>
      <c r="C159"/>
      <c r="D159"/>
      <c r="E159"/>
      <c r="F159" s="42"/>
      <c r="G159" s="3"/>
      <c r="H159" s="42"/>
      <c r="I159" s="3"/>
      <c r="J159" s="68"/>
      <c r="K159" s="3"/>
      <c r="L159" s="42"/>
      <c r="M159" s="3"/>
      <c r="N159" s="42"/>
      <c r="O159" s="3"/>
      <c r="P159" s="29"/>
      <c r="Q159" s="3"/>
      <c r="S159" s="599"/>
      <c r="U159" s="599"/>
      <c r="W159" s="599"/>
      <c r="Y159" s="599"/>
    </row>
    <row r="160" spans="1:25" ht="16" thickBot="1" x14ac:dyDescent="0.25">
      <c r="A160" s="544" t="s">
        <v>346</v>
      </c>
      <c r="B160" t="s">
        <v>361</v>
      </c>
      <c r="C160" t="s">
        <v>362</v>
      </c>
      <c r="D160" t="s">
        <v>363</v>
      </c>
      <c r="E160" t="str">
        <f t="shared" si="7"/>
        <v>G3010 Water Supply_Domestic</v>
      </c>
      <c r="F160" s="47">
        <v>0</v>
      </c>
      <c r="G160" s="3"/>
      <c r="H160" s="47">
        <v>0</v>
      </c>
      <c r="I160" s="3"/>
      <c r="J160" s="47">
        <v>0</v>
      </c>
      <c r="K160" s="3"/>
      <c r="L160" s="46">
        <v>92.806999999999988</v>
      </c>
      <c r="M160" s="3" t="s">
        <v>52</v>
      </c>
      <c r="N160" s="46">
        <v>65</v>
      </c>
      <c r="O160" s="3" t="s">
        <v>52</v>
      </c>
      <c r="P160" s="52">
        <f>SUMIF('Physical Condition Assessment'!H158:N158,"X",'PCA Cost Tables - READ ONLY'!F160:L160)</f>
        <v>0</v>
      </c>
      <c r="Q160" s="4" t="s">
        <v>910</v>
      </c>
      <c r="S160" s="599"/>
      <c r="U160" s="599"/>
      <c r="W160" s="599"/>
      <c r="Y160" s="599"/>
    </row>
    <row r="161" spans="1:25" ht="16" thickBot="1" x14ac:dyDescent="0.25">
      <c r="A161" s="544" t="s">
        <v>346</v>
      </c>
      <c r="B161" s="544" t="s">
        <v>361</v>
      </c>
      <c r="C161" t="s">
        <v>362</v>
      </c>
      <c r="D161" t="s">
        <v>365</v>
      </c>
      <c r="E161" t="str">
        <f t="shared" si="7"/>
        <v>G3010 Water Supply_Fire</v>
      </c>
      <c r="F161" s="47">
        <v>0</v>
      </c>
      <c r="G161" s="3"/>
      <c r="H161" s="47">
        <v>0</v>
      </c>
      <c r="I161" s="3"/>
      <c r="J161" s="47">
        <v>0</v>
      </c>
      <c r="K161" s="3"/>
      <c r="L161" s="46">
        <v>92.806999999999988</v>
      </c>
      <c r="M161" s="3" t="s">
        <v>52</v>
      </c>
      <c r="N161" s="46">
        <v>65</v>
      </c>
      <c r="O161" s="3" t="s">
        <v>52</v>
      </c>
      <c r="P161" s="52">
        <f>SUMIF('Physical Condition Assessment'!H159:N159,"X",'PCA Cost Tables - READ ONLY'!F161:L161)</f>
        <v>0</v>
      </c>
      <c r="Q161" s="4" t="s">
        <v>910</v>
      </c>
      <c r="S161" s="599"/>
      <c r="U161" s="599"/>
      <c r="W161" s="599"/>
      <c r="Y161" s="599"/>
    </row>
    <row r="162" spans="1:25" ht="16" thickBot="1" x14ac:dyDescent="0.25">
      <c r="A162" s="544" t="s">
        <v>346</v>
      </c>
      <c r="B162" s="544" t="s">
        <v>361</v>
      </c>
      <c r="C162" t="s">
        <v>367</v>
      </c>
      <c r="D162" t="s">
        <v>893</v>
      </c>
      <c r="E162" t="str">
        <f t="shared" si="7"/>
        <v>G3020 Sanitary Sewer_blank</v>
      </c>
      <c r="F162" s="47">
        <v>0</v>
      </c>
      <c r="G162" s="3"/>
      <c r="H162" s="47">
        <v>0</v>
      </c>
      <c r="I162" s="3"/>
      <c r="J162" s="47">
        <v>0</v>
      </c>
      <c r="K162" s="3"/>
      <c r="L162" s="46">
        <v>64.251000000000005</v>
      </c>
      <c r="M162" s="3" t="s">
        <v>52</v>
      </c>
      <c r="N162" s="46">
        <v>45</v>
      </c>
      <c r="O162" s="3" t="s">
        <v>52</v>
      </c>
      <c r="P162" s="52">
        <f>SUMIF('Physical Condition Assessment'!H160:N160,"X",'PCA Cost Tables - READ ONLY'!F162:L162)</f>
        <v>0</v>
      </c>
      <c r="Q162" s="4" t="s">
        <v>910</v>
      </c>
      <c r="S162" s="599"/>
      <c r="U162" s="599"/>
      <c r="W162" s="599"/>
      <c r="Y162" s="599"/>
    </row>
    <row r="163" spans="1:25" ht="16" thickBot="1" x14ac:dyDescent="0.25">
      <c r="A163" s="544" t="s">
        <v>346</v>
      </c>
      <c r="B163" s="544" t="s">
        <v>361</v>
      </c>
      <c r="C163" t="s">
        <v>369</v>
      </c>
      <c r="D163" t="s">
        <v>893</v>
      </c>
      <c r="E163" t="str">
        <f t="shared" si="7"/>
        <v>G3030 Storm Sewer_blank</v>
      </c>
      <c r="F163" s="46">
        <v>2.9499999999999997</v>
      </c>
      <c r="G163" s="3"/>
      <c r="H163" s="46">
        <v>4.4249999999999998</v>
      </c>
      <c r="I163" s="3"/>
      <c r="J163" s="46">
        <v>5.8999999999999995</v>
      </c>
      <c r="K163" s="3"/>
      <c r="L163" s="46">
        <v>10.324999999999999</v>
      </c>
      <c r="M163" s="3" t="s">
        <v>52</v>
      </c>
      <c r="N163" s="46">
        <v>2.46</v>
      </c>
      <c r="O163" s="3" t="s">
        <v>52</v>
      </c>
      <c r="P163" s="52">
        <f>SUMIF('Physical Condition Assessment'!H161:N161,"X",'PCA Cost Tables - READ ONLY'!F163:L163)</f>
        <v>0</v>
      </c>
      <c r="Q163" s="4" t="s">
        <v>911</v>
      </c>
      <c r="S163" s="599"/>
      <c r="U163" s="599"/>
      <c r="W163" s="599"/>
      <c r="Y163" s="599"/>
    </row>
    <row r="164" spans="1:25" ht="16" thickBot="1" x14ac:dyDescent="0.25">
      <c r="A164" s="544" t="s">
        <v>346</v>
      </c>
      <c r="B164" s="544" t="s">
        <v>361</v>
      </c>
      <c r="C164" t="s">
        <v>371</v>
      </c>
      <c r="D164" t="s">
        <v>893</v>
      </c>
      <c r="E164" t="str">
        <f t="shared" si="7"/>
        <v>G3040 Heating Distribution_blank</v>
      </c>
      <c r="F164" s="47">
        <v>0</v>
      </c>
      <c r="G164" s="3"/>
      <c r="H164" s="47">
        <v>0</v>
      </c>
      <c r="I164" s="3"/>
      <c r="J164" s="47">
        <v>0</v>
      </c>
      <c r="K164" s="3"/>
      <c r="L164" s="46">
        <v>437.29399999999998</v>
      </c>
      <c r="M164" s="3" t="s">
        <v>52</v>
      </c>
      <c r="N164" s="46">
        <v>225</v>
      </c>
      <c r="O164" s="3" t="s">
        <v>52</v>
      </c>
      <c r="P164" s="52">
        <f>SUMIF('Physical Condition Assessment'!H162:N162,"X",'PCA Cost Tables - READ ONLY'!F164:L164)</f>
        <v>0</v>
      </c>
      <c r="Q164" s="4" t="s">
        <v>912</v>
      </c>
      <c r="S164" s="599"/>
      <c r="U164" s="599"/>
      <c r="W164" s="599"/>
      <c r="Y164" s="599"/>
    </row>
    <row r="165" spans="1:25" ht="16" thickBot="1" x14ac:dyDescent="0.25">
      <c r="A165" s="544" t="s">
        <v>346</v>
      </c>
      <c r="B165" s="544" t="s">
        <v>361</v>
      </c>
      <c r="C165" t="s">
        <v>373</v>
      </c>
      <c r="D165" t="s">
        <v>893</v>
      </c>
      <c r="E165" t="str">
        <f t="shared" si="7"/>
        <v>G3050 Cooling Distribution_blank</v>
      </c>
      <c r="F165" s="47">
        <v>0</v>
      </c>
      <c r="G165" s="3"/>
      <c r="H165" s="47">
        <v>0</v>
      </c>
      <c r="I165" s="3"/>
      <c r="J165" s="47">
        <v>0</v>
      </c>
      <c r="K165" s="3"/>
      <c r="L165" s="46">
        <v>630.71249999999998</v>
      </c>
      <c r="M165" s="3" t="s">
        <v>52</v>
      </c>
      <c r="N165" s="46">
        <v>225</v>
      </c>
      <c r="O165" s="3" t="s">
        <v>52</v>
      </c>
      <c r="P165" s="52">
        <f>SUMIF('Physical Condition Assessment'!H163:N163,"X",'PCA Cost Tables - READ ONLY'!F165:L165)</f>
        <v>0</v>
      </c>
      <c r="Q165" s="4" t="s">
        <v>913</v>
      </c>
      <c r="S165" s="599"/>
      <c r="U165" s="599"/>
      <c r="W165" s="599"/>
      <c r="Y165" s="599"/>
    </row>
    <row r="166" spans="1:25" ht="16" thickBot="1" x14ac:dyDescent="0.25">
      <c r="A166" s="544" t="s">
        <v>346</v>
      </c>
      <c r="B166" s="544" t="s">
        <v>361</v>
      </c>
      <c r="C166" t="s">
        <v>375</v>
      </c>
      <c r="D166" t="s">
        <v>893</v>
      </c>
      <c r="E166" t="str">
        <f t="shared" si="7"/>
        <v>G3060 Fuel Distribution_blank</v>
      </c>
      <c r="F166" s="47">
        <v>0</v>
      </c>
      <c r="G166" s="3"/>
      <c r="H166" s="47">
        <v>0</v>
      </c>
      <c r="I166" s="3"/>
      <c r="J166" s="47">
        <v>0</v>
      </c>
      <c r="K166" s="3"/>
      <c r="L166" s="46">
        <v>78.528999999999996</v>
      </c>
      <c r="M166" s="3" t="s">
        <v>52</v>
      </c>
      <c r="N166" s="46">
        <v>35</v>
      </c>
      <c r="O166" s="3" t="s">
        <v>52</v>
      </c>
      <c r="P166" s="52">
        <f>SUMIF('Physical Condition Assessment'!H164:N164,"X",'PCA Cost Tables - READ ONLY'!F166:L166)</f>
        <v>0</v>
      </c>
      <c r="Q166" s="4" t="s">
        <v>914</v>
      </c>
      <c r="S166" s="599"/>
      <c r="U166" s="599"/>
      <c r="W166" s="599"/>
      <c r="Y166" s="599"/>
    </row>
    <row r="167" spans="1:25" ht="16" hidden="1" thickBot="1" x14ac:dyDescent="0.25">
      <c r="A167" s="544" t="s">
        <v>346</v>
      </c>
      <c r="B167" t="s">
        <v>361</v>
      </c>
      <c r="C167" t="s">
        <v>377</v>
      </c>
      <c r="D167" t="s">
        <v>893</v>
      </c>
      <c r="E167" t="str">
        <f t="shared" si="7"/>
        <v>G3090 Other Site Mechanical Utilities_blank</v>
      </c>
      <c r="F167" s="47"/>
      <c r="G167" s="3"/>
      <c r="H167" s="47"/>
      <c r="I167" s="3"/>
      <c r="J167" s="47"/>
      <c r="K167" s="3"/>
      <c r="L167" s="47"/>
      <c r="M167" s="3" t="s">
        <v>52</v>
      </c>
      <c r="N167" s="47"/>
      <c r="O167" s="3" t="s">
        <v>52</v>
      </c>
      <c r="P167" s="52">
        <f>SUMIF('Physical Condition Assessment'!H165:N165,"X",'PCA Cost Tables - READ ONLY'!F167:L167)</f>
        <v>0</v>
      </c>
      <c r="Q167" s="33"/>
      <c r="S167" s="599"/>
      <c r="U167" s="599"/>
      <c r="W167" s="599"/>
      <c r="Y167" s="599"/>
    </row>
    <row r="168" spans="1:25" ht="16" thickBot="1" x14ac:dyDescent="0.25">
      <c r="A168" s="544"/>
      <c r="B168" s="7"/>
      <c r="C168"/>
      <c r="D168"/>
      <c r="E168"/>
      <c r="F168" s="42"/>
      <c r="G168" s="3"/>
      <c r="H168" s="42"/>
      <c r="I168" s="3"/>
      <c r="J168" s="68"/>
      <c r="K168" s="3"/>
      <c r="L168" s="42"/>
      <c r="M168" s="3"/>
      <c r="N168" s="42"/>
      <c r="O168" s="3"/>
      <c r="P168" s="29"/>
      <c r="Q168" s="3"/>
      <c r="S168" s="599"/>
      <c r="U168" s="599"/>
      <c r="W168" s="599"/>
      <c r="Y168" s="599"/>
    </row>
    <row r="169" spans="1:25" ht="16" thickBot="1" x14ac:dyDescent="0.25">
      <c r="A169" s="544" t="s">
        <v>346</v>
      </c>
      <c r="B169" t="s">
        <v>378</v>
      </c>
      <c r="C169" t="s">
        <v>379</v>
      </c>
      <c r="D169" t="s">
        <v>380</v>
      </c>
      <c r="E169" t="str">
        <f t="shared" si="7"/>
        <v>G4010 Electrical Distribution_Service</v>
      </c>
      <c r="F169" s="47">
        <v>0</v>
      </c>
      <c r="G169" s="3"/>
      <c r="H169" s="47">
        <v>0</v>
      </c>
      <c r="I169" s="3"/>
      <c r="J169" s="46">
        <v>1.2998000000000001</v>
      </c>
      <c r="K169" s="3"/>
      <c r="L169" s="46">
        <v>3.9932000000000003</v>
      </c>
      <c r="M169" s="3" t="s">
        <v>52</v>
      </c>
      <c r="N169" s="46">
        <v>2.48</v>
      </c>
      <c r="O169" s="3" t="s">
        <v>52</v>
      </c>
      <c r="P169" s="52">
        <f>SUMIF('Physical Condition Assessment'!H167:N167,"X",'PCA Cost Tables - READ ONLY'!F169:L169)</f>
        <v>0</v>
      </c>
      <c r="Q169" s="4"/>
      <c r="S169" s="599"/>
      <c r="U169" s="599"/>
      <c r="W169" s="599"/>
      <c r="Y169" s="599"/>
    </row>
    <row r="170" spans="1:25" ht="16" thickBot="1" x14ac:dyDescent="0.25">
      <c r="A170" s="544" t="s">
        <v>346</v>
      </c>
      <c r="B170" s="544" t="s">
        <v>378</v>
      </c>
      <c r="C170" t="s">
        <v>379</v>
      </c>
      <c r="D170" t="s">
        <v>382</v>
      </c>
      <c r="E170" t="str">
        <f t="shared" si="7"/>
        <v>G4010 Electrical Distribution_Generator</v>
      </c>
      <c r="F170" s="46">
        <v>2737.6</v>
      </c>
      <c r="G170" s="3"/>
      <c r="H170" s="46">
        <v>13688</v>
      </c>
      <c r="I170" s="3"/>
      <c r="J170" s="46">
        <v>88972</v>
      </c>
      <c r="K170" s="3"/>
      <c r="L170" s="46">
        <v>123192</v>
      </c>
      <c r="M170" s="3" t="s">
        <v>52</v>
      </c>
      <c r="N170" s="46">
        <v>30000</v>
      </c>
      <c r="O170" s="3" t="s">
        <v>52</v>
      </c>
      <c r="P170" s="52">
        <f>SUMIF('Physical Condition Assessment'!H168:N168,"X",'PCA Cost Tables - READ ONLY'!F170:L170)</f>
        <v>0</v>
      </c>
      <c r="Q170" s="4" t="s">
        <v>915</v>
      </c>
      <c r="S170" s="599"/>
      <c r="U170" s="599"/>
      <c r="W170" s="599"/>
      <c r="Y170" s="599"/>
    </row>
    <row r="171" spans="1:25" ht="16" thickBot="1" x14ac:dyDescent="0.25">
      <c r="A171" s="544" t="s">
        <v>346</v>
      </c>
      <c r="B171" s="544" t="s">
        <v>378</v>
      </c>
      <c r="C171" t="s">
        <v>384</v>
      </c>
      <c r="D171" t="s">
        <v>893</v>
      </c>
      <c r="E171" t="str">
        <f t="shared" si="7"/>
        <v>G4020 Site Lighting_blank</v>
      </c>
      <c r="F171" s="46">
        <v>5129.5200000000004</v>
      </c>
      <c r="G171" s="3"/>
      <c r="H171" s="47">
        <v>0</v>
      </c>
      <c r="I171" s="3"/>
      <c r="J171" s="47">
        <v>0</v>
      </c>
      <c r="K171" s="3"/>
      <c r="L171" s="46">
        <v>8704.6400000000012</v>
      </c>
      <c r="M171" s="3" t="s">
        <v>52</v>
      </c>
      <c r="N171" s="46">
        <v>1.3</v>
      </c>
      <c r="O171" s="3" t="s">
        <v>52</v>
      </c>
      <c r="P171" s="52">
        <f>SUMIF('Physical Condition Assessment'!H169:N169,"X",'PCA Cost Tables - READ ONLY'!F171:L171)</f>
        <v>0</v>
      </c>
      <c r="Q171" s="4" t="s">
        <v>915</v>
      </c>
      <c r="S171" s="599"/>
      <c r="U171" s="599"/>
      <c r="W171" s="599"/>
      <c r="Y171" s="599"/>
    </row>
    <row r="172" spans="1:25" ht="16" thickBot="1" x14ac:dyDescent="0.25">
      <c r="A172" s="544" t="s">
        <v>346</v>
      </c>
      <c r="B172" s="544" t="s">
        <v>378</v>
      </c>
      <c r="C172" t="s">
        <v>386</v>
      </c>
      <c r="D172" t="s">
        <v>893</v>
      </c>
      <c r="E172" t="str">
        <f t="shared" si="7"/>
        <v>G4030 Site Communications &amp; Security_blank</v>
      </c>
      <c r="F172" s="47">
        <v>0</v>
      </c>
      <c r="G172" s="3"/>
      <c r="H172" s="47">
        <v>0</v>
      </c>
      <c r="I172" s="3"/>
      <c r="J172" s="47">
        <v>0</v>
      </c>
      <c r="K172" s="3"/>
      <c r="L172" s="46">
        <v>18.652800000000003</v>
      </c>
      <c r="M172" s="3" t="s">
        <v>52</v>
      </c>
      <c r="N172" s="46">
        <v>0.8</v>
      </c>
      <c r="O172" s="3" t="s">
        <v>52</v>
      </c>
      <c r="P172" s="52">
        <f>SUMIF('Physical Condition Assessment'!H170:N170,"X",'PCA Cost Tables - READ ONLY'!F172:L172)</f>
        <v>0</v>
      </c>
      <c r="Q172" s="4"/>
      <c r="S172" s="599"/>
      <c r="U172" s="599"/>
      <c r="W172" s="599"/>
      <c r="Y172" s="599"/>
    </row>
  </sheetData>
  <mergeCells count="1">
    <mergeCell ref="F2:L4"/>
  </mergeCells>
  <pageMargins left="0.7" right="0.7" top="0.75" bottom="0.75" header="0.3" footer="0.3"/>
  <pageSetup scale="37" fitToHeight="5" orientation="landscape" useFirstPageNumber="1" r:id="rId1"/>
  <headerFooter>
    <oddHeader>&amp;C&amp;"-,Bold"&amp;A</oddHeader>
    <oddFooter>&amp;LPage &amp;P</oddFooter>
  </headerFooter>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3"/>
  </sheetPr>
  <dimension ref="A1:J34"/>
  <sheetViews>
    <sheetView zoomScale="115" zoomScaleNormal="115" zoomScalePageLayoutView="115" workbookViewId="0">
      <selection activeCell="B6" sqref="B6"/>
    </sheetView>
  </sheetViews>
  <sheetFormatPr baseColWidth="10" defaultColWidth="8.83203125" defaultRowHeight="15" x14ac:dyDescent="0.2"/>
  <cols>
    <col min="1" max="1" width="22.33203125" style="502" customWidth="1"/>
    <col min="2" max="2" width="23.5" style="502" customWidth="1"/>
    <col min="3" max="3" width="14.5" style="502" customWidth="1"/>
    <col min="4" max="4" width="17.1640625" style="502" customWidth="1"/>
    <col min="5" max="5" width="11.6640625" style="502" customWidth="1"/>
    <col min="6" max="6" width="19" style="502" bestFit="1" customWidth="1"/>
    <col min="7" max="16384" width="8.83203125" style="502"/>
  </cols>
  <sheetData>
    <row r="1" spans="1:10" x14ac:dyDescent="0.2">
      <c r="A1" s="505" t="s">
        <v>916</v>
      </c>
      <c r="G1" s="504"/>
    </row>
    <row r="2" spans="1:10" x14ac:dyDescent="0.2">
      <c r="A2" s="537"/>
    </row>
    <row r="3" spans="1:10" x14ac:dyDescent="0.2">
      <c r="B3" s="886" t="s">
        <v>2049</v>
      </c>
      <c r="C3" s="880" t="s">
        <v>2048</v>
      </c>
      <c r="D3" s="881"/>
      <c r="E3" s="882"/>
    </row>
    <row r="4" spans="1:10" x14ac:dyDescent="0.2">
      <c r="B4" s="887"/>
      <c r="C4" s="883"/>
      <c r="D4" s="884"/>
      <c r="E4" s="885"/>
    </row>
    <row r="5" spans="1:10" ht="16" x14ac:dyDescent="0.2">
      <c r="A5" s="24" t="s">
        <v>870</v>
      </c>
      <c r="B5" s="30" t="s">
        <v>2044</v>
      </c>
      <c r="C5" s="30" t="s">
        <v>2046</v>
      </c>
      <c r="D5" s="30" t="s">
        <v>2045</v>
      </c>
      <c r="E5" s="30" t="s">
        <v>2047</v>
      </c>
      <c r="F5" s="39" t="s">
        <v>917</v>
      </c>
    </row>
    <row r="6" spans="1:10" x14ac:dyDescent="0.2">
      <c r="A6" s="22" t="s">
        <v>918</v>
      </c>
      <c r="B6" s="31">
        <v>348</v>
      </c>
      <c r="C6" s="31">
        <f>$B6*'Base Information Sheet'!$B$37</f>
        <v>0</v>
      </c>
      <c r="D6" s="57">
        <f>$C6*'Base Information Sheet'!$B$38</f>
        <v>0</v>
      </c>
      <c r="E6" s="457">
        <f>$D6*'Base Information Sheet'!$B$39</f>
        <v>0</v>
      </c>
      <c r="F6" s="23">
        <f>IF('Base Information Sheet'!$B$11=A6,'Building Type Budget-READ ONLY'!E6,0)</f>
        <v>0</v>
      </c>
      <c r="J6" s="606"/>
    </row>
    <row r="7" spans="1:10" x14ac:dyDescent="0.2">
      <c r="A7" s="22" t="s">
        <v>919</v>
      </c>
      <c r="B7" s="31">
        <v>392</v>
      </c>
      <c r="C7" s="31">
        <f>$B7*'Base Information Sheet'!$B$37</f>
        <v>0</v>
      </c>
      <c r="D7" s="57">
        <f>$C7*'Base Information Sheet'!$B$38</f>
        <v>0</v>
      </c>
      <c r="E7" s="457">
        <f>$D7*'Base Information Sheet'!$B$39</f>
        <v>0</v>
      </c>
      <c r="F7" s="23">
        <f>IF('Base Information Sheet'!$B$11=A7,'Building Type Budget-READ ONLY'!E7,0)</f>
        <v>0</v>
      </c>
      <c r="J7" s="606"/>
    </row>
    <row r="8" spans="1:10" x14ac:dyDescent="0.2">
      <c r="A8" s="22" t="s">
        <v>920</v>
      </c>
      <c r="B8" s="31">
        <v>392</v>
      </c>
      <c r="C8" s="31">
        <f>$B8*'Base Information Sheet'!$B$37</f>
        <v>0</v>
      </c>
      <c r="D8" s="57">
        <f>$C8*'Base Information Sheet'!$B$38</f>
        <v>0</v>
      </c>
      <c r="E8" s="457">
        <f>$D8*'Base Information Sheet'!$B$39</f>
        <v>0</v>
      </c>
      <c r="F8" s="23">
        <f>IF('Base Information Sheet'!$B$11=A8,'Building Type Budget-READ ONLY'!E8,0)</f>
        <v>0</v>
      </c>
      <c r="J8" s="606"/>
    </row>
    <row r="9" spans="1:10" x14ac:dyDescent="0.2">
      <c r="A9" s="22" t="s">
        <v>921</v>
      </c>
      <c r="B9" s="31">
        <v>427</v>
      </c>
      <c r="C9" s="31">
        <f>$B9*'Base Information Sheet'!$B$37</f>
        <v>0</v>
      </c>
      <c r="D9" s="57">
        <f>$C9*'Base Information Sheet'!$B$38</f>
        <v>0</v>
      </c>
      <c r="E9" s="457">
        <f>$D9*'Base Information Sheet'!$B$39</f>
        <v>0</v>
      </c>
      <c r="F9" s="23">
        <f>IF('Base Information Sheet'!$B$11=A9,'Building Type Budget-READ ONLY'!E9,0)</f>
        <v>0</v>
      </c>
      <c r="J9" s="606"/>
    </row>
    <row r="10" spans="1:10" x14ac:dyDescent="0.2">
      <c r="A10" s="22" t="s">
        <v>922</v>
      </c>
      <c r="B10" s="31">
        <v>481.5</v>
      </c>
      <c r="C10" s="31">
        <f>$B10*'Base Information Sheet'!$B$37</f>
        <v>0</v>
      </c>
      <c r="D10" s="57">
        <f>$C10*'Base Information Sheet'!$B$38</f>
        <v>0</v>
      </c>
      <c r="E10" s="457">
        <f>$D10*'Base Information Sheet'!$B$39</f>
        <v>0</v>
      </c>
      <c r="F10" s="23">
        <f>IF('Base Information Sheet'!$B$11=A10,'Building Type Budget-READ ONLY'!E10,0)</f>
        <v>0</v>
      </c>
      <c r="J10" s="606"/>
    </row>
    <row r="11" spans="1:10" x14ac:dyDescent="0.2">
      <c r="A11" s="22" t="s">
        <v>923</v>
      </c>
      <c r="B11" s="31">
        <v>594.92000000000007</v>
      </c>
      <c r="C11" s="31">
        <f>$B11*'Base Information Sheet'!$B$37</f>
        <v>0</v>
      </c>
      <c r="D11" s="57">
        <f>$C11*'Base Information Sheet'!$B$38</f>
        <v>0</v>
      </c>
      <c r="E11" s="457">
        <f>$D11*'Base Information Sheet'!$B$39</f>
        <v>0</v>
      </c>
      <c r="F11" s="23">
        <f>IF('Base Information Sheet'!$B$11=A11,'Building Type Budget-READ ONLY'!E11,0)</f>
        <v>0</v>
      </c>
      <c r="J11" s="606"/>
    </row>
    <row r="12" spans="1:10" x14ac:dyDescent="0.2">
      <c r="A12" s="22" t="s">
        <v>924</v>
      </c>
      <c r="B12" s="31">
        <v>410</v>
      </c>
      <c r="C12" s="31">
        <f>$B12*'Base Information Sheet'!$B$37</f>
        <v>0</v>
      </c>
      <c r="D12" s="57">
        <f>$C12*'Base Information Sheet'!$B$38</f>
        <v>0</v>
      </c>
      <c r="E12" s="457">
        <f>$D12*'Base Information Sheet'!$B$39</f>
        <v>0</v>
      </c>
      <c r="F12" s="23">
        <f>IF('Base Information Sheet'!$B$11=A12,'Building Type Budget-READ ONLY'!E12,0)</f>
        <v>0</v>
      </c>
      <c r="J12" s="606"/>
    </row>
    <row r="13" spans="1:10" x14ac:dyDescent="0.2">
      <c r="A13" s="22" t="s">
        <v>925</v>
      </c>
      <c r="B13" s="31">
        <v>350</v>
      </c>
      <c r="C13" s="31">
        <f>$B13*'Base Information Sheet'!$B$37</f>
        <v>0</v>
      </c>
      <c r="D13" s="57">
        <f>$C13*'Base Information Sheet'!$B$38</f>
        <v>0</v>
      </c>
      <c r="E13" s="457">
        <f>$D13*'Base Information Sheet'!$B$39</f>
        <v>0</v>
      </c>
      <c r="F13" s="23">
        <f>IF('Base Information Sheet'!$B$11=A13,'Building Type Budget-READ ONLY'!E13,0)</f>
        <v>0</v>
      </c>
      <c r="J13" s="606"/>
    </row>
    <row r="14" spans="1:10" x14ac:dyDescent="0.2">
      <c r="A14" s="22" t="s">
        <v>926</v>
      </c>
      <c r="B14" s="31">
        <v>410</v>
      </c>
      <c r="C14" s="31">
        <f>$B14*'Base Information Sheet'!$B$37</f>
        <v>0</v>
      </c>
      <c r="D14" s="57">
        <f>$C14*'Base Information Sheet'!$B$38</f>
        <v>0</v>
      </c>
      <c r="E14" s="457">
        <f>$D14*'Base Information Sheet'!$B$39</f>
        <v>0</v>
      </c>
      <c r="F14" s="23">
        <f>IF('Base Information Sheet'!$B$11=A14,'Building Type Budget-READ ONLY'!E14,0)</f>
        <v>0</v>
      </c>
      <c r="J14" s="606"/>
    </row>
    <row r="15" spans="1:10" x14ac:dyDescent="0.2">
      <c r="A15" s="22" t="s">
        <v>927</v>
      </c>
      <c r="B15" s="31">
        <v>310</v>
      </c>
      <c r="C15" s="31">
        <f>$B15*'Base Information Sheet'!$B$37</f>
        <v>0</v>
      </c>
      <c r="D15" s="57">
        <f>$C15*'Base Information Sheet'!$B$38</f>
        <v>0</v>
      </c>
      <c r="E15" s="457">
        <f>$D15*'Base Information Sheet'!$B$39</f>
        <v>0</v>
      </c>
      <c r="F15" s="23">
        <f>IF('Base Information Sheet'!$B$11=A15,'Building Type Budget-READ ONLY'!E15,0)</f>
        <v>0</v>
      </c>
      <c r="J15" s="606"/>
    </row>
    <row r="16" spans="1:10" x14ac:dyDescent="0.2">
      <c r="A16" s="22" t="s">
        <v>928</v>
      </c>
      <c r="B16" s="31">
        <v>310</v>
      </c>
      <c r="C16" s="31">
        <f>$B16*'Base Information Sheet'!$B$37</f>
        <v>0</v>
      </c>
      <c r="D16" s="57">
        <f>$C16*'Base Information Sheet'!$B$38</f>
        <v>0</v>
      </c>
      <c r="E16" s="457">
        <f>$D16*'Base Information Sheet'!$B$39</f>
        <v>0</v>
      </c>
      <c r="F16" s="23">
        <f>IF('Base Information Sheet'!$B$11=A16,'Building Type Budget-READ ONLY'!E16,0)</f>
        <v>0</v>
      </c>
      <c r="J16" s="606"/>
    </row>
    <row r="17" spans="1:10" x14ac:dyDescent="0.2">
      <c r="A17" s="22" t="s">
        <v>929</v>
      </c>
      <c r="B17" s="31">
        <v>508.25000000000006</v>
      </c>
      <c r="C17" s="31">
        <f>$B17*'Base Information Sheet'!$B$37</f>
        <v>0</v>
      </c>
      <c r="D17" s="57">
        <f>$C17*'Base Information Sheet'!$B$38</f>
        <v>0</v>
      </c>
      <c r="E17" s="457">
        <f>$D17*'Base Information Sheet'!$B$39</f>
        <v>0</v>
      </c>
      <c r="F17" s="23">
        <f>IF('Base Information Sheet'!$B$11=A17,'Building Type Budget-READ ONLY'!E17,0)</f>
        <v>0</v>
      </c>
      <c r="J17" s="606"/>
    </row>
    <row r="18" spans="1:10" x14ac:dyDescent="0.2">
      <c r="A18" s="22" t="s">
        <v>930</v>
      </c>
      <c r="B18" s="31">
        <v>310.3</v>
      </c>
      <c r="C18" s="31">
        <f>$B18*'Base Information Sheet'!$B$37</f>
        <v>0</v>
      </c>
      <c r="D18" s="57">
        <f>$C18*'Base Information Sheet'!$B$38</f>
        <v>0</v>
      </c>
      <c r="E18" s="457">
        <f>$D18*'Base Information Sheet'!$B$39</f>
        <v>0</v>
      </c>
      <c r="F18" s="23">
        <f>IF('Base Information Sheet'!$B$11=A18,'Building Type Budget-READ ONLY'!E18,0)</f>
        <v>0</v>
      </c>
      <c r="J18" s="606"/>
    </row>
    <row r="19" spans="1:10" x14ac:dyDescent="0.2">
      <c r="A19" s="22" t="s">
        <v>931</v>
      </c>
      <c r="B19" s="31">
        <v>326.35000000000002</v>
      </c>
      <c r="C19" s="31">
        <f>$B19*'Base Information Sheet'!$B$37</f>
        <v>0</v>
      </c>
      <c r="D19" s="57">
        <f>$C19*'Base Information Sheet'!$B$38</f>
        <v>0</v>
      </c>
      <c r="E19" s="457">
        <f>$D19*'Base Information Sheet'!$B$39</f>
        <v>0</v>
      </c>
      <c r="F19" s="23">
        <f>IF('Base Information Sheet'!$B$11=A19,'Building Type Budget-READ ONLY'!E19,0)</f>
        <v>0</v>
      </c>
      <c r="J19" s="606"/>
    </row>
    <row r="20" spans="1:10" x14ac:dyDescent="0.2">
      <c r="A20" s="22" t="s">
        <v>932</v>
      </c>
      <c r="B20" s="31">
        <v>30</v>
      </c>
      <c r="C20" s="31">
        <f>$B20*'Base Information Sheet'!$B$37</f>
        <v>0</v>
      </c>
      <c r="D20" s="57">
        <f>$C20*'Base Information Sheet'!$B$38</f>
        <v>0</v>
      </c>
      <c r="E20" s="457">
        <f>$D20*'Base Information Sheet'!$B$39</f>
        <v>0</v>
      </c>
      <c r="F20" s="23">
        <f>IF('Base Information Sheet'!$B$11=A20,'Building Type Budget-READ ONLY'!E20,0)</f>
        <v>0</v>
      </c>
      <c r="J20" s="606"/>
    </row>
    <row r="21" spans="1:10" x14ac:dyDescent="0.2">
      <c r="A21" s="22" t="s">
        <v>933</v>
      </c>
      <c r="B21" s="31">
        <v>165</v>
      </c>
      <c r="C21" s="31">
        <f>$B21*'Base Information Sheet'!$B$37</f>
        <v>0</v>
      </c>
      <c r="D21" s="57">
        <f>$C21*'Base Information Sheet'!$B$38</f>
        <v>0</v>
      </c>
      <c r="E21" s="457">
        <f>$D21*'Base Information Sheet'!$B$39</f>
        <v>0</v>
      </c>
      <c r="F21" s="23">
        <f>IF('Base Information Sheet'!$B$11=A21,'Building Type Budget-READ ONLY'!E21,0)</f>
        <v>0</v>
      </c>
      <c r="J21" s="606"/>
    </row>
    <row r="22" spans="1:10" x14ac:dyDescent="0.2">
      <c r="A22" s="22" t="s">
        <v>934</v>
      </c>
      <c r="B22" s="31">
        <v>359.52000000000004</v>
      </c>
      <c r="C22" s="31">
        <f>$B22*'Base Information Sheet'!$B$37</f>
        <v>0</v>
      </c>
      <c r="D22" s="57">
        <f>$C22*'Base Information Sheet'!$B$38</f>
        <v>0</v>
      </c>
      <c r="E22" s="457">
        <f>$D22*'Base Information Sheet'!$B$39</f>
        <v>0</v>
      </c>
      <c r="F22" s="23">
        <f>IF('Base Information Sheet'!$B$11=A22,'Building Type Budget-READ ONLY'!E22,0)</f>
        <v>0</v>
      </c>
      <c r="J22" s="606"/>
    </row>
    <row r="23" spans="1:10" x14ac:dyDescent="0.2">
      <c r="A23"/>
      <c r="B23" s="13"/>
      <c r="C23" s="13"/>
      <c r="D23" s="13"/>
      <c r="E23" s="40" t="s">
        <v>935</v>
      </c>
      <c r="F23" s="12">
        <f>IF(SUM(F6:F22)&gt;0, SUM(F6:F22), 1)</f>
        <v>1</v>
      </c>
    </row>
    <row r="26" spans="1:10" x14ac:dyDescent="0.2">
      <c r="A26" s="537"/>
    </row>
    <row r="28" spans="1:10" x14ac:dyDescent="0.2">
      <c r="A28" s="582" t="s">
        <v>936</v>
      </c>
    </row>
    <row r="29" spans="1:10" ht="32.25" customHeight="1" x14ac:dyDescent="0.2">
      <c r="A29" s="823" t="s">
        <v>937</v>
      </c>
      <c r="B29" s="824"/>
      <c r="C29" s="824"/>
      <c r="D29" s="824"/>
      <c r="E29" s="824"/>
      <c r="F29" s="824"/>
    </row>
    <row r="30" spans="1:10" ht="31.5" customHeight="1" x14ac:dyDescent="0.2">
      <c r="A30" s="502" t="s">
        <v>938</v>
      </c>
      <c r="E30" s="502" t="s">
        <v>2022</v>
      </c>
    </row>
    <row r="31" spans="1:10" x14ac:dyDescent="0.2">
      <c r="A31" s="502" t="s">
        <v>21</v>
      </c>
    </row>
    <row r="32" spans="1:10" x14ac:dyDescent="0.2">
      <c r="A32" s="502" t="s">
        <v>939</v>
      </c>
    </row>
    <row r="33" spans="1:1" x14ac:dyDescent="0.2">
      <c r="A33" s="502" t="s">
        <v>940</v>
      </c>
    </row>
    <row r="34" spans="1:1" x14ac:dyDescent="0.2">
      <c r="A34" s="502" t="s">
        <v>941</v>
      </c>
    </row>
  </sheetData>
  <mergeCells count="3">
    <mergeCell ref="A29:F29"/>
    <mergeCell ref="C3:E4"/>
    <mergeCell ref="B3:B4"/>
  </mergeCells>
  <pageMargins left="0.7" right="0.7" top="0.75" bottom="0.75" header="0.3" footer="0.3"/>
  <pageSetup scale="73" orientation="portrait" r:id="rId1"/>
  <headerFooter>
    <oddHeader>&amp;C&amp;"-,Bold"&amp;A</oddHeader>
    <oddFooter>&amp;LPage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0644174688FB44593B521B0C5C20524" ma:contentTypeVersion="22" ma:contentTypeDescription="Create a new document." ma:contentTypeScope="" ma:versionID="1a858362c7f27fe566c90650a819c08b">
  <xsd:schema xmlns:xsd="http://www.w3.org/2001/XMLSchema" xmlns:xs="http://www.w3.org/2001/XMLSchema" xmlns:p="http://schemas.microsoft.com/office/2006/metadata/properties" xmlns:ns2="14af3ca4-0e6f-4359-946d-119cce166944" xmlns:ns3="313a8175-4c09-43f9-864c-5226c19b7cf8" targetNamespace="http://schemas.microsoft.com/office/2006/metadata/properties" ma:root="true" ma:fieldsID="b19f6cdab04c980a6d6e06c90e582137" ns2:_="" ns3:_="">
    <xsd:import namespace="14af3ca4-0e6f-4359-946d-119cce166944"/>
    <xsd:import namespace="313a8175-4c09-43f9-864c-5226c19b7cf8"/>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af3ca4-0e6f-4359-946d-119cce166944"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description="" ma:hidden="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8b8d9f71-cd12-492f-a8f9-2366278db24a"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13a8175-4c09-43f9-864c-5226c19b7cf8" elementFormDefault="qualified">
    <xsd:import namespace="http://schemas.microsoft.com/office/2006/documentManagement/types"/>
    <xsd:import namespace="http://schemas.microsoft.com/office/infopath/2007/PartnerControls"/>
    <xsd:element name="SharedWithUsers" ma:index="11"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e965b7ff-84c3-4587-ad0f-7bbaae6a29d3}" ma:internalName="TaxCatchAll" ma:showField="CatchAllData" ma:web="313a8175-4c09-43f9-864c-5226c19b7cf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4af3ca4-0e6f-4359-946d-119cce166944">
      <Terms xmlns="http://schemas.microsoft.com/office/infopath/2007/PartnerControls"/>
    </lcf76f155ced4ddcb4097134ff3c332f>
    <TaxCatchAll xmlns="313a8175-4c09-43f9-864c-5226c19b7cf8" xsi:nil="true"/>
  </documentManagement>
</p:properties>
</file>

<file path=customXml/itemProps1.xml><?xml version="1.0" encoding="utf-8"?>
<ds:datastoreItem xmlns:ds="http://schemas.openxmlformats.org/officeDocument/2006/customXml" ds:itemID="{4839BF0D-3BA1-4940-9603-F46D96F2A2F1}">
  <ds:schemaRefs>
    <ds:schemaRef ds:uri="http://schemas.microsoft.com/sharepoint/v3/contenttype/forms"/>
  </ds:schemaRefs>
</ds:datastoreItem>
</file>

<file path=customXml/itemProps2.xml><?xml version="1.0" encoding="utf-8"?>
<ds:datastoreItem xmlns:ds="http://schemas.openxmlformats.org/officeDocument/2006/customXml" ds:itemID="{1566CFBA-09BE-44EE-BC3A-884BE28ADF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af3ca4-0e6f-4359-946d-119cce166944"/>
    <ds:schemaRef ds:uri="313a8175-4c09-43f9-864c-5226c19b7c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10AE474-8CA6-4F23-AA64-691E2931DF33}">
  <ds:schemaRefs>
    <ds:schemaRef ds:uri="http://schemas.microsoft.com/office/2006/metadata/properties"/>
    <ds:schemaRef ds:uri="http://schemas.microsoft.com/office/infopath/2007/PartnerControls"/>
    <ds:schemaRef ds:uri="14af3ca4-0e6f-4359-946d-119cce166944"/>
    <ds:schemaRef ds:uri="313a8175-4c09-43f9-864c-5226c19b7cf8"/>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20</vt:i4>
      </vt:variant>
      <vt:variant>
        <vt:lpstr>Named Ranges</vt:lpstr>
      </vt:variant>
      <vt:variant>
        <vt:i4>5</vt:i4>
      </vt:variant>
    </vt:vector>
  </HeadingPairs>
  <TitlesOfParts>
    <vt:vector size="25" baseType="lpstr">
      <vt:lpstr>ABOUT</vt:lpstr>
      <vt:lpstr>Helpful Information</vt:lpstr>
      <vt:lpstr>Base Information Sheet</vt:lpstr>
      <vt:lpstr>Physical Condition Assessment</vt:lpstr>
      <vt:lpstr>Rollup_PCA_notes</vt:lpstr>
      <vt:lpstr>SYST_LC</vt:lpstr>
      <vt:lpstr>AUTO_NOTES</vt:lpstr>
      <vt:lpstr>PCA Cost Tables - READ ONLY</vt:lpstr>
      <vt:lpstr>Building Type Budget-READ ONLY</vt:lpstr>
      <vt:lpstr>Dashboard Integration Page</vt:lpstr>
      <vt:lpstr>Edu Capacity Calculation</vt:lpstr>
      <vt:lpstr>HVAC</vt:lpstr>
      <vt:lpstr>ROOF</vt:lpstr>
      <vt:lpstr>Renovations, Additions &amp; Prtbls</vt:lpstr>
      <vt:lpstr>Security</vt:lpstr>
      <vt:lpstr>ADA</vt:lpstr>
      <vt:lpstr>IT</vt:lpstr>
      <vt:lpstr>Harmful Substances</vt:lpstr>
      <vt:lpstr>IAQ</vt:lpstr>
      <vt:lpstr>Physical Assessment Comments</vt:lpstr>
      <vt:lpstr>Building</vt:lpstr>
      <vt:lpstr>'Base Information Sheet'!Print_Area</vt:lpstr>
      <vt:lpstr>'Building Type Budget-READ ONLY'!Print_Area</vt:lpstr>
      <vt:lpstr>'PCA Cost Tables - READ ONLY'!Print_Area</vt:lpstr>
      <vt:lpstr>'Physical Condition Assessment'!Print_Area</vt:lpstr>
    </vt:vector>
  </TitlesOfParts>
  <Manager/>
  <Company>DLR Group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Rose, Scott</dc:creator>
  <cp:keywords/>
  <dc:description/>
  <cp:lastModifiedBy>Jeff Vincent</cp:lastModifiedBy>
  <cp:revision/>
  <dcterms:created xsi:type="dcterms:W3CDTF">2016-04-26T13:31:29Z</dcterms:created>
  <dcterms:modified xsi:type="dcterms:W3CDTF">2026-01-27T23:05:41Z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2da2aa8696ba4813beb0ed746ce94acb</vt:lpwstr>
  </property>
  <property fmtid="{D5CDD505-2E9C-101B-9397-08002B2CF9AE}" pid="3" name="MediaServiceImageTags">
    <vt:lpwstr/>
  </property>
  <property fmtid="{D5CDD505-2E9C-101B-9397-08002B2CF9AE}" pid="4" name="ContentTypeId">
    <vt:lpwstr>0x010100B0644174688FB44593B521B0C5C20524</vt:lpwstr>
  </property>
  <property fmtid="{D5CDD505-2E9C-101B-9397-08002B2CF9AE}" pid="5" name="_ExtendedDescription">
    <vt:lpwstr/>
  </property>
</Properties>
</file>